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ml.chartshapes+xml"/>
  <Override PartName="/xl/drawings/drawing4.xml" ContentType="application/vnd.openxmlformats-officedocument.drawing+xml"/>
  <Override PartName="/xl/charts/chart2.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Rappolee\Desktop\"/>
    </mc:Choice>
  </mc:AlternateContent>
  <bookViews>
    <workbookView xWindow="600" yWindow="4680" windowWidth="17175" windowHeight="5205" tabRatio="717"/>
  </bookViews>
  <sheets>
    <sheet name="Summary" sheetId="10" r:id="rId1"/>
    <sheet name="Parameters" sheetId="19" r:id="rId2"/>
    <sheet name="Electricity" sheetId="4" r:id="rId3"/>
    <sheet name="Personal Ground Travel" sheetId="8" r:id="rId4"/>
    <sheet name="Freight" sheetId="18" r:id="rId5"/>
    <sheet name="Aviation" sheetId="13" r:id="rId6"/>
    <sheet name="Other" sheetId="9" r:id="rId7"/>
    <sheet name="Graph_CO2" sheetId="11" r:id="rId8"/>
    <sheet name="Graph_Oil" sheetId="22" r:id="rId9"/>
    <sheet name="Emissions" sheetId="3" r:id="rId10"/>
    <sheet name="GHG's" sheetId="16" r:id="rId11"/>
    <sheet name="Elasticities" sheetId="21" state="hidden" r:id="rId12"/>
    <sheet name="Revenue" sheetId="15" r:id="rId13"/>
    <sheet name="Re-Spending" sheetId="20" state="hidden" r:id="rId14"/>
    <sheet name="Sheet1" sheetId="23" r:id="rId15"/>
  </sheets>
  <definedNames>
    <definedName name="global_mitigation" localSheetId="10">'GHG''s'!$B$47</definedName>
    <definedName name="_xlnm.Print_Area" localSheetId="5">Aviation!$B$1:$AH$126</definedName>
    <definedName name="_xlnm.Print_Area" localSheetId="2">Electricity!$B$1:$AH$124</definedName>
    <definedName name="_xlnm.Print_Area" localSheetId="9">Emissions!$B$1:$I$126</definedName>
    <definedName name="_xlnm.Print_Area" localSheetId="4">Freight!$B$1:$AH$126</definedName>
    <definedName name="_xlnm.Print_Area" localSheetId="7">Graph_CO2!$B$12:$N$36</definedName>
    <definedName name="_xlnm.Print_Area" localSheetId="6">Other!$B$1:$AH$126</definedName>
    <definedName name="_xlnm.Print_Area" localSheetId="3">'Personal Ground Travel'!$B$1:$AH$126</definedName>
    <definedName name="_xlnm.Print_Area" localSheetId="0">Summary!$B$1:$AL$157</definedName>
  </definedNames>
  <calcPr calcId="152511"/>
</workbook>
</file>

<file path=xl/calcChain.xml><?xml version="1.0" encoding="utf-8"?>
<calcChain xmlns="http://schemas.openxmlformats.org/spreadsheetml/2006/main">
  <c r="K1" i="20" l="1"/>
  <c r="P4" i="20"/>
  <c r="P5" i="20"/>
  <c r="P6" i="20"/>
  <c r="P7" i="20"/>
  <c r="P8" i="20"/>
  <c r="P9" i="20"/>
  <c r="P10" i="20"/>
  <c r="P11" i="20"/>
  <c r="P12" i="20"/>
  <c r="P13" i="20"/>
  <c r="P14" i="20"/>
  <c r="G15" i="20"/>
  <c r="P15" i="20"/>
  <c r="G16" i="20"/>
  <c r="H16" i="20" s="1"/>
  <c r="I16" i="20"/>
  <c r="P16" i="20"/>
  <c r="P17" i="20"/>
  <c r="P18" i="20"/>
  <c r="P19" i="20"/>
  <c r="P20" i="20"/>
  <c r="P21" i="20"/>
  <c r="P22" i="20"/>
  <c r="P23" i="20"/>
  <c r="P24" i="20"/>
  <c r="P25" i="20"/>
  <c r="I27" i="20" s="1"/>
  <c r="P26" i="20"/>
  <c r="G27" i="20"/>
  <c r="H27" i="20" s="1"/>
  <c r="P27" i="20"/>
  <c r="G28" i="20"/>
  <c r="H28" i="20" s="1"/>
  <c r="I28" i="20"/>
  <c r="P28" i="20"/>
  <c r="G29" i="20"/>
  <c r="H29" i="20" s="1"/>
  <c r="P29" i="20"/>
  <c r="G30" i="20"/>
  <c r="H30" i="20" s="1"/>
  <c r="I30" i="20"/>
  <c r="P30" i="20"/>
  <c r="G31" i="20"/>
  <c r="H31" i="20" s="1"/>
  <c r="P31" i="20"/>
  <c r="P32" i="20"/>
  <c r="P33" i="20"/>
  <c r="P34" i="20"/>
  <c r="G35" i="20"/>
  <c r="P35" i="20"/>
  <c r="P36" i="20"/>
  <c r="P37" i="20"/>
  <c r="P38" i="20"/>
  <c r="P39" i="20"/>
  <c r="H4" i="20" s="1"/>
  <c r="P40" i="20"/>
  <c r="G41" i="20"/>
  <c r="P41" i="20"/>
  <c r="G42" i="20"/>
  <c r="I42" i="20"/>
  <c r="P42" i="20"/>
  <c r="P43" i="20"/>
  <c r="G44" i="20"/>
  <c r="P44" i="20"/>
  <c r="G45" i="20"/>
  <c r="P45" i="20"/>
  <c r="K1" i="15"/>
  <c r="J9" i="15"/>
  <c r="G20" i="15"/>
  <c r="G22" i="15"/>
  <c r="J1" i="21"/>
  <c r="I31" i="21"/>
  <c r="G32" i="21"/>
  <c r="H32" i="21"/>
  <c r="I32" i="21"/>
  <c r="J32" i="21"/>
  <c r="G33" i="21"/>
  <c r="H33" i="21"/>
  <c r="I33" i="21"/>
  <c r="J33" i="21"/>
  <c r="G34" i="21"/>
  <c r="H34" i="21"/>
  <c r="I34" i="21"/>
  <c r="J34" i="21"/>
  <c r="G35" i="21"/>
  <c r="H35" i="21"/>
  <c r="I35" i="21"/>
  <c r="J35" i="21"/>
  <c r="G36" i="21"/>
  <c r="H36" i="21"/>
  <c r="I36" i="21"/>
  <c r="J36" i="21"/>
  <c r="G37" i="21"/>
  <c r="H37" i="21"/>
  <c r="I37" i="21"/>
  <c r="J37" i="21"/>
  <c r="G38" i="21"/>
  <c r="H38" i="21"/>
  <c r="I38" i="21"/>
  <c r="J38" i="21"/>
  <c r="G39" i="21"/>
  <c r="H39" i="21"/>
  <c r="I39" i="21"/>
  <c r="J39" i="21"/>
  <c r="G40" i="21"/>
  <c r="H40" i="21"/>
  <c r="I40" i="21"/>
  <c r="J40" i="21"/>
  <c r="G41" i="21"/>
  <c r="H41" i="21"/>
  <c r="I41" i="21"/>
  <c r="J41" i="21"/>
  <c r="G42" i="21"/>
  <c r="H42" i="21"/>
  <c r="I42" i="21"/>
  <c r="J42" i="21"/>
  <c r="G43" i="21"/>
  <c r="H43" i="21"/>
  <c r="I43" i="21"/>
  <c r="J43" i="21"/>
  <c r="G44" i="21"/>
  <c r="H44" i="21"/>
  <c r="I44" i="21"/>
  <c r="J44" i="21"/>
  <c r="G45" i="21"/>
  <c r="H45" i="21"/>
  <c r="I45" i="21"/>
  <c r="J45" i="21"/>
  <c r="G46" i="21"/>
  <c r="H46" i="21"/>
  <c r="I46" i="21"/>
  <c r="J46" i="21"/>
  <c r="G47" i="21"/>
  <c r="H47" i="21"/>
  <c r="I47" i="21"/>
  <c r="J47" i="21"/>
  <c r="G48" i="21"/>
  <c r="H48" i="21"/>
  <c r="I48" i="21"/>
  <c r="J48" i="21"/>
  <c r="G49" i="21"/>
  <c r="H49" i="21"/>
  <c r="I49" i="21"/>
  <c r="J49" i="21"/>
  <c r="G50" i="21"/>
  <c r="H50" i="21"/>
  <c r="I50" i="21"/>
  <c r="J50" i="21"/>
  <c r="G51" i="21"/>
  <c r="H51" i="21"/>
  <c r="I51" i="21"/>
  <c r="J51" i="21"/>
  <c r="G52" i="21"/>
  <c r="H52" i="21"/>
  <c r="I52" i="21"/>
  <c r="J52" i="21"/>
  <c r="G53" i="21"/>
  <c r="H53" i="21"/>
  <c r="I53" i="21"/>
  <c r="J53" i="21"/>
  <c r="G54" i="21"/>
  <c r="H54" i="21"/>
  <c r="I54" i="21"/>
  <c r="J54" i="21"/>
  <c r="G55" i="21"/>
  <c r="H55" i="21"/>
  <c r="I55" i="21"/>
  <c r="J55" i="21"/>
  <c r="G56" i="21"/>
  <c r="H56" i="21"/>
  <c r="I56" i="21"/>
  <c r="J56" i="21"/>
  <c r="G57" i="21"/>
  <c r="H57" i="21"/>
  <c r="I57" i="21"/>
  <c r="J57" i="21"/>
  <c r="G58" i="21"/>
  <c r="H58" i="21"/>
  <c r="I58" i="21"/>
  <c r="J58" i="21"/>
  <c r="G59" i="21"/>
  <c r="H59" i="21"/>
  <c r="I59" i="21"/>
  <c r="J59" i="21"/>
  <c r="G60" i="21"/>
  <c r="H60" i="21"/>
  <c r="I60" i="21"/>
  <c r="J60" i="21"/>
  <c r="G61" i="21"/>
  <c r="H61" i="21"/>
  <c r="I61" i="21"/>
  <c r="J61" i="21"/>
  <c r="G62" i="21"/>
  <c r="H62" i="21"/>
  <c r="I62" i="21"/>
  <c r="J62" i="21"/>
  <c r="G63" i="21"/>
  <c r="H63" i="21"/>
  <c r="I63" i="21"/>
  <c r="J63" i="21"/>
  <c r="G64" i="21"/>
  <c r="H64" i="21"/>
  <c r="I64" i="21"/>
  <c r="J64" i="21"/>
  <c r="G65" i="21"/>
  <c r="H65" i="21"/>
  <c r="I65" i="21"/>
  <c r="J65" i="21"/>
  <c r="G66" i="21"/>
  <c r="H66" i="21"/>
  <c r="I66" i="21"/>
  <c r="J66" i="21"/>
  <c r="G67" i="21"/>
  <c r="H67" i="21"/>
  <c r="I67" i="21"/>
  <c r="J67" i="21"/>
  <c r="G68" i="21"/>
  <c r="H68" i="21"/>
  <c r="I68" i="21"/>
  <c r="J68" i="21"/>
  <c r="G69" i="21"/>
  <c r="H69" i="21"/>
  <c r="I69" i="21"/>
  <c r="J69" i="21"/>
  <c r="G70" i="21"/>
  <c r="H70" i="21"/>
  <c r="I70" i="21"/>
  <c r="J70" i="21"/>
  <c r="L2" i="16"/>
  <c r="G15" i="16"/>
  <c r="H15" i="16"/>
  <c r="O15" i="16"/>
  <c r="P15" i="16" s="1"/>
  <c r="Q15" i="16"/>
  <c r="R15" i="16" s="1"/>
  <c r="R31" i="16" s="1"/>
  <c r="S32" i="16" s="1"/>
  <c r="S15" i="16" s="1"/>
  <c r="H16" i="16"/>
  <c r="I16" i="16"/>
  <c r="O16" i="16"/>
  <c r="P16" i="16"/>
  <c r="I17" i="16"/>
  <c r="J17" i="16"/>
  <c r="K17" i="16" s="1"/>
  <c r="L17" i="16"/>
  <c r="O17" i="16"/>
  <c r="P17" i="16"/>
  <c r="I18" i="16"/>
  <c r="J18" i="16"/>
  <c r="K18" i="16" s="1"/>
  <c r="L18" i="16" s="1"/>
  <c r="O18" i="16"/>
  <c r="P18" i="16"/>
  <c r="I19" i="16"/>
  <c r="J19" i="16"/>
  <c r="K19" i="16" s="1"/>
  <c r="L19" i="16"/>
  <c r="O19" i="16"/>
  <c r="P19" i="16"/>
  <c r="I20" i="16"/>
  <c r="J20" i="16"/>
  <c r="K20" i="16" s="1"/>
  <c r="L20" i="16" s="1"/>
  <c r="O20" i="16"/>
  <c r="P20" i="16"/>
  <c r="I21" i="16"/>
  <c r="J21" i="16"/>
  <c r="K21" i="16" s="1"/>
  <c r="L21" i="16"/>
  <c r="O21" i="16"/>
  <c r="P21" i="16"/>
  <c r="I22" i="16"/>
  <c r="O22" i="16"/>
  <c r="P22" i="16" s="1"/>
  <c r="F23" i="16"/>
  <c r="L23" i="16"/>
  <c r="O24" i="16"/>
  <c r="P24" i="16"/>
  <c r="O25" i="16"/>
  <c r="P25" i="16"/>
  <c r="O26" i="16"/>
  <c r="P26" i="16"/>
  <c r="O27" i="16"/>
  <c r="P27" i="16"/>
  <c r="O28" i="16"/>
  <c r="P28" i="16"/>
  <c r="F29" i="16"/>
  <c r="G29" i="16"/>
  <c r="O29" i="16"/>
  <c r="P29" i="16"/>
  <c r="Q29" i="16"/>
  <c r="G30" i="16"/>
  <c r="O30" i="16"/>
  <c r="P30" i="16"/>
  <c r="P31" i="16"/>
  <c r="P32" i="16" s="1"/>
  <c r="F33" i="16"/>
  <c r="F35" i="16"/>
  <c r="F40" i="16"/>
  <c r="J40" i="16"/>
  <c r="N1" i="3"/>
  <c r="Q1" i="3"/>
  <c r="Q2" i="3"/>
  <c r="Q3" i="3"/>
  <c r="Q4" i="3"/>
  <c r="Q5" i="3"/>
  <c r="Q6" i="3"/>
  <c r="Q7" i="3"/>
  <c r="Q8" i="3"/>
  <c r="Q9" i="3"/>
  <c r="Q10" i="3"/>
  <c r="G11" i="3"/>
  <c r="Q11" i="3"/>
  <c r="I12" i="3"/>
  <c r="J12" i="3"/>
  <c r="K12" i="3"/>
  <c r="L12" i="3"/>
  <c r="Q12" i="3"/>
  <c r="I13" i="3"/>
  <c r="J13" i="3"/>
  <c r="K13" i="3"/>
  <c r="L13" i="3" s="1"/>
  <c r="Q13" i="3"/>
  <c r="I14" i="3"/>
  <c r="J14" i="3"/>
  <c r="K14" i="3"/>
  <c r="L14" i="3"/>
  <c r="Q14" i="3"/>
  <c r="I15" i="3"/>
  <c r="J15" i="3"/>
  <c r="K15" i="3"/>
  <c r="L15" i="3" s="1"/>
  <c r="Q15" i="3"/>
  <c r="I16" i="3"/>
  <c r="J16" i="3"/>
  <c r="K16" i="3"/>
  <c r="Q16" i="3"/>
  <c r="Q17" i="3"/>
  <c r="Q18" i="3"/>
  <c r="Q19" i="3"/>
  <c r="I20" i="3"/>
  <c r="J20" i="3"/>
  <c r="Q20" i="3"/>
  <c r="Q21" i="3"/>
  <c r="Q22" i="3"/>
  <c r="Q23" i="3"/>
  <c r="I24" i="3"/>
  <c r="K24" i="3"/>
  <c r="Q24" i="3"/>
  <c r="Q25" i="3"/>
  <c r="Q26" i="3"/>
  <c r="Q27" i="3"/>
  <c r="Q28" i="3"/>
  <c r="Q29" i="3"/>
  <c r="Q30" i="3"/>
  <c r="Q31" i="3"/>
  <c r="Q32" i="3"/>
  <c r="Q33" i="3"/>
  <c r="Q34" i="3"/>
  <c r="B35" i="3"/>
  <c r="G35" i="3"/>
  <c r="I35" i="3"/>
  <c r="J35" i="3"/>
  <c r="K35" i="3"/>
  <c r="Q35" i="3"/>
  <c r="Q36" i="3"/>
  <c r="G37" i="3"/>
  <c r="I37" i="3"/>
  <c r="J37" i="3"/>
  <c r="K37" i="3"/>
  <c r="M15" i="16" s="1"/>
  <c r="Q37" i="3"/>
  <c r="Q38" i="3"/>
  <c r="Q39" i="3"/>
  <c r="Q40" i="3"/>
  <c r="Q41" i="3"/>
  <c r="S41" i="3"/>
  <c r="T41" i="3"/>
  <c r="U41" i="3"/>
  <c r="W41" i="3"/>
  <c r="X41" i="3"/>
  <c r="Y41" i="3"/>
  <c r="Q42" i="3"/>
  <c r="L38" i="3" s="1"/>
  <c r="S42" i="3"/>
  <c r="T42" i="3"/>
  <c r="U42" i="3"/>
  <c r="W42" i="3"/>
  <c r="L43" i="3" s="1"/>
  <c r="X42" i="3"/>
  <c r="Y42" i="3"/>
  <c r="L44" i="3" s="1"/>
  <c r="Q43" i="3"/>
  <c r="Q44" i="3"/>
  <c r="L45" i="3"/>
  <c r="Q45" i="3"/>
  <c r="L46" i="3"/>
  <c r="Q46" i="3"/>
  <c r="Q47" i="3"/>
  <c r="G48" i="3"/>
  <c r="I48" i="3"/>
  <c r="J48" i="3"/>
  <c r="K48" i="3"/>
  <c r="L48" i="3"/>
  <c r="Q48" i="3"/>
  <c r="Q49" i="3"/>
  <c r="Q50" i="3"/>
  <c r="G51" i="3"/>
  <c r="I51" i="3"/>
  <c r="J51" i="3"/>
  <c r="K51" i="3"/>
  <c r="Q51" i="3"/>
  <c r="Q52" i="3"/>
  <c r="Q53" i="3"/>
  <c r="Q54" i="3"/>
  <c r="Q55" i="3"/>
  <c r="Q56" i="3"/>
  <c r="Q57" i="3"/>
  <c r="Q58" i="3"/>
  <c r="Q59" i="3"/>
  <c r="Q60" i="3"/>
  <c r="Q61" i="3"/>
  <c r="Q62" i="3"/>
  <c r="Q63" i="3"/>
  <c r="G64" i="3"/>
  <c r="I64" i="3"/>
  <c r="J64" i="3"/>
  <c r="K64" i="3"/>
  <c r="Q64" i="3"/>
  <c r="B65" i="3"/>
  <c r="Q65" i="3"/>
  <c r="Q66" i="3"/>
  <c r="G67" i="3"/>
  <c r="I67" i="3"/>
  <c r="J67" i="3"/>
  <c r="K67" i="3"/>
  <c r="Q67" i="3"/>
  <c r="B68" i="3"/>
  <c r="Q68" i="3"/>
  <c r="Q69" i="3"/>
  <c r="Q70" i="3"/>
  <c r="Q71" i="3"/>
  <c r="Q72" i="3"/>
  <c r="Q73" i="3"/>
  <c r="Q74" i="3"/>
  <c r="Q75" i="3"/>
  <c r="Q76" i="3"/>
  <c r="Q77" i="3"/>
  <c r="Q78" i="3"/>
  <c r="Q79" i="3"/>
  <c r="Q80" i="3"/>
  <c r="Q81" i="3"/>
  <c r="Q82" i="3"/>
  <c r="Q83" i="3"/>
  <c r="Q84" i="3"/>
  <c r="Q85" i="3"/>
  <c r="Q86" i="3"/>
  <c r="Q87" i="3"/>
  <c r="Q88" i="3"/>
  <c r="Q89" i="3"/>
  <c r="Q90" i="3"/>
  <c r="Q91" i="3"/>
  <c r="Q92" i="3"/>
  <c r="Q93" i="3"/>
  <c r="Q94" i="3"/>
  <c r="Q95" i="3"/>
  <c r="Q96" i="3"/>
  <c r="Q97" i="3"/>
  <c r="Q98" i="3"/>
  <c r="G99" i="3"/>
  <c r="G102" i="3" s="1"/>
  <c r="I99" i="3"/>
  <c r="J99" i="3"/>
  <c r="J102" i="3" s="1"/>
  <c r="K99" i="3"/>
  <c r="Q99" i="3"/>
  <c r="Q100" i="3"/>
  <c r="Q101" i="3"/>
  <c r="I102" i="3"/>
  <c r="K102" i="3"/>
  <c r="Q102" i="3"/>
  <c r="Q103" i="3"/>
  <c r="Q104" i="3"/>
  <c r="Q105" i="3"/>
  <c r="G106" i="3"/>
  <c r="I106" i="3"/>
  <c r="J106" i="3"/>
  <c r="K106" i="3"/>
  <c r="Q106" i="3"/>
  <c r="Q107" i="3"/>
  <c r="Q108" i="3"/>
  <c r="G109" i="3"/>
  <c r="I109" i="3"/>
  <c r="J109" i="3"/>
  <c r="K109" i="3"/>
  <c r="Q109" i="3"/>
  <c r="Q110" i="3"/>
  <c r="Q111" i="3"/>
  <c r="I112" i="3"/>
  <c r="K112" i="3"/>
  <c r="Q112" i="3"/>
  <c r="Q113" i="3"/>
  <c r="Q114" i="3"/>
  <c r="G115" i="3"/>
  <c r="I115" i="3"/>
  <c r="J115" i="3"/>
  <c r="P115" i="3"/>
  <c r="K115" i="3" s="1"/>
  <c r="L115" i="3" s="1"/>
  <c r="Q115" i="3"/>
  <c r="Q116" i="3"/>
  <c r="Q117" i="3"/>
  <c r="Q118" i="3"/>
  <c r="Q119" i="3"/>
  <c r="T119" i="3"/>
  <c r="K120" i="3"/>
  <c r="Q120" i="3"/>
  <c r="Q121" i="3"/>
  <c r="T121" i="3"/>
  <c r="W121" i="3"/>
  <c r="X123" i="3" s="1"/>
  <c r="Q122" i="3"/>
  <c r="T122" i="3"/>
  <c r="Q123" i="3"/>
  <c r="T123" i="3"/>
  <c r="W123" i="3" s="1"/>
  <c r="G124" i="3"/>
  <c r="N124" i="3"/>
  <c r="Q124" i="3"/>
  <c r="T124" i="3"/>
  <c r="K125" i="3"/>
  <c r="Q125" i="3"/>
  <c r="S125" i="3"/>
  <c r="U125" i="3"/>
  <c r="V125" i="3"/>
  <c r="Z125" i="3"/>
  <c r="Q126" i="3"/>
  <c r="Q127" i="3"/>
  <c r="Q128" i="3"/>
  <c r="Q129" i="3"/>
  <c r="J130" i="3"/>
  <c r="Q130" i="3"/>
  <c r="J131" i="3"/>
  <c r="Q131" i="3"/>
  <c r="J132" i="3"/>
  <c r="Q132" i="3"/>
  <c r="J133" i="3"/>
  <c r="Q133" i="3"/>
  <c r="J134" i="3"/>
  <c r="Q134" i="3"/>
  <c r="Q135" i="3"/>
  <c r="Q136" i="3"/>
  <c r="Q137" i="3"/>
  <c r="Q138" i="3"/>
  <c r="Q139" i="3"/>
  <c r="Q140" i="3"/>
  <c r="Q141" i="3"/>
  <c r="Q142" i="3"/>
  <c r="Q143" i="3"/>
  <c r="Q144" i="3"/>
  <c r="Q145" i="3"/>
  <c r="Q146" i="3"/>
  <c r="Q147" i="3"/>
  <c r="Q148" i="3"/>
  <c r="Q149" i="3"/>
  <c r="Q150" i="3"/>
  <c r="Q151" i="3"/>
  <c r="Q152" i="3"/>
  <c r="Q153" i="3"/>
  <c r="Q154" i="3"/>
  <c r="Q155" i="3"/>
  <c r="Q156" i="3"/>
  <c r="Q157" i="3"/>
  <c r="Q158" i="3"/>
  <c r="Q159" i="3"/>
  <c r="Q160" i="3"/>
  <c r="Q161" i="3"/>
  <c r="Q162" i="3"/>
  <c r="Q163" i="3"/>
  <c r="Q164" i="3"/>
  <c r="Q165" i="3"/>
  <c r="Q166" i="3"/>
  <c r="Q167" i="3"/>
  <c r="Q168" i="3"/>
  <c r="Q169" i="3"/>
  <c r="Q170" i="3"/>
  <c r="Q171" i="3"/>
  <c r="Q172" i="3"/>
  <c r="Q173" i="3"/>
  <c r="Q174" i="3"/>
  <c r="Q175" i="3"/>
  <c r="Q176" i="3"/>
  <c r="Q177" i="3"/>
  <c r="Q178" i="3"/>
  <c r="Q179" i="3"/>
  <c r="Q180" i="3"/>
  <c r="Q181" i="3"/>
  <c r="Q182" i="3"/>
  <c r="Q183" i="3"/>
  <c r="Q184" i="3"/>
  <c r="Q185" i="3"/>
  <c r="Q186" i="3"/>
  <c r="Q187" i="3"/>
  <c r="Q188" i="3"/>
  <c r="Q189" i="3"/>
  <c r="Q190" i="3"/>
  <c r="Q191" i="3"/>
  <c r="Q192" i="3"/>
  <c r="Q193" i="3"/>
  <c r="Q194" i="3"/>
  <c r="Q195" i="3"/>
  <c r="Q196" i="3"/>
  <c r="Q197" i="3"/>
  <c r="Q198" i="3"/>
  <c r="Q199" i="3"/>
  <c r="Q200" i="3"/>
  <c r="Q201" i="3"/>
  <c r="Q202" i="3"/>
  <c r="Q203" i="3"/>
  <c r="Q204" i="3"/>
  <c r="Q205" i="3"/>
  <c r="L206" i="3"/>
  <c r="M206" i="3"/>
  <c r="Q206" i="3"/>
  <c r="L207" i="3"/>
  <c r="M207" i="3"/>
  <c r="M213" i="3" s="1"/>
  <c r="Q207" i="3"/>
  <c r="L208" i="3"/>
  <c r="M208" i="3"/>
  <c r="Q208" i="3"/>
  <c r="AO1" i="22"/>
  <c r="L2" i="22"/>
  <c r="AO2" i="22"/>
  <c r="AO3" i="22"/>
  <c r="AO4" i="22"/>
  <c r="AO5" i="22"/>
  <c r="AO6" i="22"/>
  <c r="AO7" i="22"/>
  <c r="AO8" i="22"/>
  <c r="AO9" i="22"/>
  <c r="AO10" i="22"/>
  <c r="AO11" i="22"/>
  <c r="AO12" i="22"/>
  <c r="AO13" i="22"/>
  <c r="AO14" i="22"/>
  <c r="AO15" i="22"/>
  <c r="AO16" i="22"/>
  <c r="AO17" i="22"/>
  <c r="AO18" i="22"/>
  <c r="AO19" i="22"/>
  <c r="AO20" i="22"/>
  <c r="AO21" i="22"/>
  <c r="AO22" i="22"/>
  <c r="AO23" i="22"/>
  <c r="AO24" i="22"/>
  <c r="AO25" i="22"/>
  <c r="AO26" i="22"/>
  <c r="AO27" i="22"/>
  <c r="AO28" i="22"/>
  <c r="AO29" i="22"/>
  <c r="AO30" i="22"/>
  <c r="AO31" i="22"/>
  <c r="AO32" i="22"/>
  <c r="AO33" i="22"/>
  <c r="AO34" i="22"/>
  <c r="AO35" i="22"/>
  <c r="AO36" i="22"/>
  <c r="AO37" i="22"/>
  <c r="AO38" i="22"/>
  <c r="AO39" i="22"/>
  <c r="AO40" i="22"/>
  <c r="AO41" i="22"/>
  <c r="AO42" i="22"/>
  <c r="I43" i="22"/>
  <c r="I68" i="22" s="1"/>
  <c r="J43" i="22"/>
  <c r="K43" i="22"/>
  <c r="K68" i="22" s="1"/>
  <c r="L43" i="22"/>
  <c r="M43" i="22"/>
  <c r="M68" i="22" s="1"/>
  <c r="N43" i="22"/>
  <c r="O43" i="22"/>
  <c r="O68" i="22" s="1"/>
  <c r="AO43" i="22"/>
  <c r="AO44" i="22"/>
  <c r="AO45" i="22"/>
  <c r="AO46" i="22"/>
  <c r="AO47" i="22"/>
  <c r="AO48" i="22"/>
  <c r="AO49" i="22"/>
  <c r="AO50" i="22"/>
  <c r="AO51" i="22"/>
  <c r="AO52" i="22"/>
  <c r="AO53" i="22"/>
  <c r="B54" i="22"/>
  <c r="AO54" i="22"/>
  <c r="B55" i="22"/>
  <c r="AO55" i="22"/>
  <c r="B56" i="22"/>
  <c r="AO56" i="22"/>
  <c r="B57" i="22"/>
  <c r="AO57" i="22"/>
  <c r="B58" i="22"/>
  <c r="AO58" i="22"/>
  <c r="B59" i="22"/>
  <c r="AO59" i="22"/>
  <c r="AO60" i="22"/>
  <c r="AO61" i="22"/>
  <c r="H62" i="22"/>
  <c r="AO62" i="22"/>
  <c r="AO63" i="22"/>
  <c r="AO64" i="22"/>
  <c r="AO65" i="22"/>
  <c r="AO66" i="22"/>
  <c r="AO67" i="22"/>
  <c r="J68" i="22"/>
  <c r="L68" i="22"/>
  <c r="N68" i="22"/>
  <c r="AO68" i="22"/>
  <c r="AO69" i="22"/>
  <c r="AO70" i="22"/>
  <c r="AO71" i="22"/>
  <c r="AO72" i="22"/>
  <c r="AO73" i="22"/>
  <c r="AO74" i="22"/>
  <c r="AO75" i="22"/>
  <c r="AO76" i="22"/>
  <c r="AO77" i="22"/>
  <c r="AO78" i="22"/>
  <c r="AO79" i="22"/>
  <c r="AO80" i="22"/>
  <c r="I66" i="22" s="1"/>
  <c r="AO81" i="22"/>
  <c r="I82" i="22"/>
  <c r="J82" i="22"/>
  <c r="K82" i="22"/>
  <c r="L82" i="22"/>
  <c r="M82" i="22"/>
  <c r="N82" i="22"/>
  <c r="O82" i="22"/>
  <c r="AO82" i="22"/>
  <c r="AO83" i="22"/>
  <c r="B84" i="22"/>
  <c r="AO84" i="22"/>
  <c r="B85" i="22"/>
  <c r="AO85" i="22"/>
  <c r="B86" i="22"/>
  <c r="AO86" i="22"/>
  <c r="B87" i="22"/>
  <c r="AO87" i="22"/>
  <c r="B88" i="22"/>
  <c r="AO88" i="22"/>
  <c r="B89" i="22"/>
  <c r="AO89" i="22"/>
  <c r="AO90" i="22"/>
  <c r="AO91" i="22"/>
  <c r="AO92" i="22"/>
  <c r="AO93" i="22"/>
  <c r="AO94" i="22"/>
  <c r="AO95" i="22"/>
  <c r="AO96" i="22"/>
  <c r="AO97" i="22"/>
  <c r="AO98" i="22"/>
  <c r="AO99" i="22"/>
  <c r="AO100" i="22"/>
  <c r="AO101" i="22"/>
  <c r="AO102" i="22"/>
  <c r="AO103" i="22"/>
  <c r="AO104" i="22"/>
  <c r="AO105" i="22"/>
  <c r="AO106" i="22"/>
  <c r="AO107" i="22"/>
  <c r="AO108" i="22"/>
  <c r="AO109" i="22"/>
  <c r="AO110" i="22"/>
  <c r="AO111" i="22"/>
  <c r="AO112" i="22"/>
  <c r="AO113" i="22"/>
  <c r="AO114" i="22"/>
  <c r="AO115" i="22"/>
  <c r="AO116" i="22"/>
  <c r="AO117" i="22"/>
  <c r="AO118" i="22"/>
  <c r="AO119" i="22"/>
  <c r="AO120" i="22"/>
  <c r="AO121" i="22"/>
  <c r="AO122" i="22"/>
  <c r="AO123" i="22"/>
  <c r="AO124" i="22"/>
  <c r="AO125" i="22"/>
  <c r="AO126" i="22"/>
  <c r="AO127" i="22"/>
  <c r="AO128" i="22"/>
  <c r="AO129" i="22"/>
  <c r="AO130" i="22"/>
  <c r="AO131" i="22"/>
  <c r="AO132" i="22"/>
  <c r="AO133" i="22"/>
  <c r="AO134" i="22"/>
  <c r="AO135" i="22"/>
  <c r="AO136" i="22"/>
  <c r="AO137" i="22"/>
  <c r="AO138" i="22"/>
  <c r="AO139" i="22"/>
  <c r="AO140" i="22"/>
  <c r="AO141" i="22"/>
  <c r="AO142" i="22"/>
  <c r="AO143" i="22"/>
  <c r="AO144" i="22"/>
  <c r="AO145" i="22"/>
  <c r="AO146" i="22"/>
  <c r="AO147" i="22"/>
  <c r="AO148" i="22"/>
  <c r="AO149" i="22"/>
  <c r="AO150" i="22"/>
  <c r="AO151" i="22"/>
  <c r="AO152" i="22"/>
  <c r="AO153" i="22"/>
  <c r="AO154" i="22"/>
  <c r="AO155" i="22"/>
  <c r="AO156" i="22"/>
  <c r="AO157" i="22"/>
  <c r="AO158" i="22"/>
  <c r="AO159" i="22"/>
  <c r="AO160" i="22"/>
  <c r="AO161" i="22"/>
  <c r="AO162" i="22"/>
  <c r="AO163" i="22"/>
  <c r="AO164" i="22"/>
  <c r="AO165" i="22"/>
  <c r="AO166" i="22"/>
  <c r="AO167" i="22"/>
  <c r="AO168" i="22"/>
  <c r="AO169" i="22"/>
  <c r="AO170" i="22"/>
  <c r="AO171" i="22"/>
  <c r="AO172" i="22"/>
  <c r="AO173" i="22"/>
  <c r="AO174" i="22"/>
  <c r="AO175" i="22"/>
  <c r="AO176" i="22"/>
  <c r="AO177" i="22"/>
  <c r="AO178" i="22"/>
  <c r="AO179" i="22"/>
  <c r="AO180" i="22"/>
  <c r="L2" i="11"/>
  <c r="I6" i="11"/>
  <c r="J6" i="11"/>
  <c r="K6" i="11"/>
  <c r="L6" i="11"/>
  <c r="M6" i="11"/>
  <c r="N6" i="11"/>
  <c r="O6" i="11"/>
  <c r="M1" i="9"/>
  <c r="AO1" i="9"/>
  <c r="AO2" i="9"/>
  <c r="AO3" i="9"/>
  <c r="AO4" i="9"/>
  <c r="AO5" i="9"/>
  <c r="AO6" i="9"/>
  <c r="AO7" i="9"/>
  <c r="AO8" i="9"/>
  <c r="AO9" i="9"/>
  <c r="AO10" i="9"/>
  <c r="I11" i="9"/>
  <c r="AO11" i="9"/>
  <c r="I12" i="9"/>
  <c r="AO12" i="9"/>
  <c r="B13" i="9" s="1"/>
  <c r="AO13" i="9"/>
  <c r="AO14" i="9"/>
  <c r="M15" i="9"/>
  <c r="N15" i="9"/>
  <c r="O15" i="9"/>
  <c r="AO15" i="9"/>
  <c r="M16" i="9"/>
  <c r="N16" i="9"/>
  <c r="O16" i="9"/>
  <c r="AO16" i="9"/>
  <c r="M17" i="9"/>
  <c r="M18" i="9" s="1"/>
  <c r="N17" i="9"/>
  <c r="O17" i="9"/>
  <c r="O18" i="9" s="1"/>
  <c r="AO17" i="9"/>
  <c r="N18" i="9"/>
  <c r="N19" i="9" s="1"/>
  <c r="AO18" i="9"/>
  <c r="M19" i="9"/>
  <c r="O19" i="9"/>
  <c r="AO19" i="9"/>
  <c r="AO20" i="9"/>
  <c r="K21" i="9"/>
  <c r="L21" i="9"/>
  <c r="M21" i="9"/>
  <c r="N21" i="9"/>
  <c r="AO21" i="9"/>
  <c r="AO22" i="9"/>
  <c r="N23" i="9"/>
  <c r="AO23" i="9"/>
  <c r="AO24" i="9"/>
  <c r="AO25" i="9"/>
  <c r="AO26" i="9"/>
  <c r="H27" i="9"/>
  <c r="AO27" i="9"/>
  <c r="AO28" i="9"/>
  <c r="K29" i="9"/>
  <c r="AO29" i="9"/>
  <c r="K30" i="9"/>
  <c r="L30" i="9"/>
  <c r="M30" i="9"/>
  <c r="N30" i="9"/>
  <c r="O30" i="9"/>
  <c r="AO30" i="9"/>
  <c r="H31" i="9"/>
  <c r="K31" i="9"/>
  <c r="M31" i="9"/>
  <c r="AO31" i="9"/>
  <c r="G158" i="9" s="1"/>
  <c r="H32" i="9"/>
  <c r="AO32" i="9"/>
  <c r="AO33" i="9"/>
  <c r="AO34" i="9"/>
  <c r="AO35" i="9"/>
  <c r="K36" i="9"/>
  <c r="K40" i="9" s="1"/>
  <c r="AO36" i="9"/>
  <c r="AO37" i="9"/>
  <c r="AO38" i="9"/>
  <c r="AO39" i="9"/>
  <c r="AO40" i="9"/>
  <c r="B41" i="9"/>
  <c r="AO41" i="9"/>
  <c r="AO42" i="9"/>
  <c r="AO43" i="9"/>
  <c r="AO44" i="9"/>
  <c r="AO45" i="9"/>
  <c r="K46" i="9"/>
  <c r="M46" i="9"/>
  <c r="AO46" i="9"/>
  <c r="B47" i="9"/>
  <c r="AO47" i="9"/>
  <c r="AO48" i="9"/>
  <c r="B56" i="9" s="1"/>
  <c r="AO49" i="9"/>
  <c r="AO50" i="9"/>
  <c r="K51" i="9"/>
  <c r="AO51" i="9"/>
  <c r="AO52" i="9"/>
  <c r="AO53" i="9"/>
  <c r="AO54" i="9"/>
  <c r="AO55" i="9"/>
  <c r="AO56" i="9"/>
  <c r="K57" i="9"/>
  <c r="L57" i="9"/>
  <c r="M57" i="9"/>
  <c r="N57" i="9"/>
  <c r="O57" i="9"/>
  <c r="AO57" i="9"/>
  <c r="AO58" i="9"/>
  <c r="AO59" i="9"/>
  <c r="AO60" i="9"/>
  <c r="AO61" i="9"/>
  <c r="AO62" i="9"/>
  <c r="AO63" i="9"/>
  <c r="AO64" i="9"/>
  <c r="AO65" i="9"/>
  <c r="AO67" i="9"/>
  <c r="AO68" i="9"/>
  <c r="H69" i="9"/>
  <c r="AO69" i="9"/>
  <c r="AO70" i="9"/>
  <c r="AO71" i="9"/>
  <c r="AO72" i="9"/>
  <c r="AO73" i="9"/>
  <c r="AO74" i="9"/>
  <c r="AO75" i="9"/>
  <c r="AO76" i="9"/>
  <c r="AO77" i="9"/>
  <c r="AO78" i="9"/>
  <c r="AO79" i="9"/>
  <c r="AO80" i="9"/>
  <c r="AO81" i="9"/>
  <c r="AO82" i="9"/>
  <c r="AO83" i="9"/>
  <c r="AO84" i="9"/>
  <c r="AO85" i="9"/>
  <c r="AO86" i="9"/>
  <c r="AO87" i="9"/>
  <c r="AO88" i="9"/>
  <c r="AO89" i="9"/>
  <c r="AO90" i="9"/>
  <c r="AO91" i="9"/>
  <c r="AO92" i="9"/>
  <c r="AO93" i="9"/>
  <c r="AO94" i="9"/>
  <c r="AO95" i="9"/>
  <c r="AO96" i="9"/>
  <c r="AO97" i="9"/>
  <c r="AO98" i="9"/>
  <c r="AO99" i="9"/>
  <c r="AO100" i="9"/>
  <c r="AO101" i="9"/>
  <c r="AO102" i="9"/>
  <c r="AO103" i="9"/>
  <c r="AO104" i="9"/>
  <c r="AO105" i="9"/>
  <c r="AO106" i="9"/>
  <c r="AO107" i="9"/>
  <c r="AO108" i="9"/>
  <c r="AO109" i="9"/>
  <c r="AO110" i="9"/>
  <c r="AO111" i="9"/>
  <c r="AO112" i="9"/>
  <c r="AO113" i="9"/>
  <c r="AO114" i="9"/>
  <c r="AO115" i="9"/>
  <c r="AO116" i="9"/>
  <c r="AO117" i="9"/>
  <c r="AO118" i="9"/>
  <c r="AO119" i="9"/>
  <c r="AO120" i="9"/>
  <c r="AO121" i="9"/>
  <c r="AO122" i="9"/>
  <c r="AO123" i="9"/>
  <c r="AO124" i="9"/>
  <c r="AO125" i="9"/>
  <c r="AO126" i="9"/>
  <c r="N58" i="9" s="1"/>
  <c r="AO127" i="9"/>
  <c r="AO128" i="9"/>
  <c r="AO129" i="9"/>
  <c r="AO130" i="9"/>
  <c r="M1" i="13"/>
  <c r="AO1" i="13"/>
  <c r="AO2" i="13"/>
  <c r="AO3" i="13"/>
  <c r="AO4" i="13"/>
  <c r="AO5" i="13"/>
  <c r="AO6" i="13"/>
  <c r="AO7" i="13"/>
  <c r="AO8" i="13"/>
  <c r="AO9" i="13"/>
  <c r="AO10" i="13"/>
  <c r="I11" i="13"/>
  <c r="AO11" i="13"/>
  <c r="I12" i="13"/>
  <c r="AO12" i="13"/>
  <c r="B13" i="13" s="1"/>
  <c r="AO13" i="13"/>
  <c r="AO14" i="13"/>
  <c r="M15" i="13"/>
  <c r="N15" i="13"/>
  <c r="N17" i="13" s="1"/>
  <c r="O15" i="13"/>
  <c r="AO15" i="13"/>
  <c r="M16" i="13"/>
  <c r="N16" i="13"/>
  <c r="O16" i="13"/>
  <c r="AO16" i="13"/>
  <c r="M17" i="13"/>
  <c r="M18" i="13" s="1"/>
  <c r="O17" i="13"/>
  <c r="O18" i="13" s="1"/>
  <c r="AO17" i="13"/>
  <c r="N18" i="13"/>
  <c r="N19" i="13" s="1"/>
  <c r="AO18" i="13"/>
  <c r="M19" i="13"/>
  <c r="O19" i="13"/>
  <c r="AO19" i="13"/>
  <c r="AO20" i="13"/>
  <c r="AO21" i="13"/>
  <c r="K22" i="13"/>
  <c r="AO22" i="13"/>
  <c r="AO23" i="13"/>
  <c r="AO24" i="13"/>
  <c r="AO25" i="13"/>
  <c r="AO26" i="13"/>
  <c r="AO27" i="13"/>
  <c r="J28" i="13"/>
  <c r="AO28" i="13"/>
  <c r="J29" i="13"/>
  <c r="K29" i="13"/>
  <c r="AO29" i="13"/>
  <c r="K30" i="13"/>
  <c r="M30" i="13"/>
  <c r="N30" i="13"/>
  <c r="O30" i="13"/>
  <c r="AO30" i="13"/>
  <c r="I31" i="13"/>
  <c r="K31" i="13"/>
  <c r="M31" i="13"/>
  <c r="N31" i="13"/>
  <c r="AO31" i="13"/>
  <c r="I32" i="13"/>
  <c r="I34" i="13" s="1"/>
  <c r="I42" i="13" s="1"/>
  <c r="K32" i="13"/>
  <c r="M32" i="13"/>
  <c r="M34" i="13" s="1"/>
  <c r="M42" i="13" s="1"/>
  <c r="N32" i="13"/>
  <c r="AO32" i="13"/>
  <c r="AO33" i="13"/>
  <c r="K34" i="13"/>
  <c r="N34" i="13"/>
  <c r="AO34" i="13"/>
  <c r="AO35" i="13"/>
  <c r="K36" i="13"/>
  <c r="K40" i="13" s="1"/>
  <c r="AO36" i="13"/>
  <c r="AO37" i="13"/>
  <c r="AO38" i="13"/>
  <c r="AO39" i="13"/>
  <c r="AO40" i="13"/>
  <c r="B52" i="13" s="1"/>
  <c r="B41" i="13"/>
  <c r="AO41" i="13"/>
  <c r="K42" i="13"/>
  <c r="N42" i="13"/>
  <c r="AO42" i="13"/>
  <c r="AO43" i="13"/>
  <c r="AO44" i="13"/>
  <c r="AO45" i="13"/>
  <c r="AO46" i="13"/>
  <c r="AO47" i="13"/>
  <c r="I48" i="13"/>
  <c r="AO48" i="13"/>
  <c r="AO49" i="13"/>
  <c r="AO50" i="13"/>
  <c r="AO51" i="13"/>
  <c r="AO52" i="13"/>
  <c r="AO53" i="13"/>
  <c r="AO54" i="13"/>
  <c r="AO55" i="13"/>
  <c r="B56" i="13"/>
  <c r="AO56" i="13"/>
  <c r="K57" i="13"/>
  <c r="L57" i="13"/>
  <c r="M57" i="13"/>
  <c r="N57" i="13"/>
  <c r="O57" i="13"/>
  <c r="AO57" i="13"/>
  <c r="AO58" i="13"/>
  <c r="AO59" i="13"/>
  <c r="AO60" i="13"/>
  <c r="AO61" i="13"/>
  <c r="AO62" i="13"/>
  <c r="AO63" i="13"/>
  <c r="AO64" i="13"/>
  <c r="AO65" i="13"/>
  <c r="AO66" i="13"/>
  <c r="AO67" i="13"/>
  <c r="AO68" i="13"/>
  <c r="AO69" i="13"/>
  <c r="AO70" i="13"/>
  <c r="AO71" i="13"/>
  <c r="AO72" i="13"/>
  <c r="AO73" i="13"/>
  <c r="AO74" i="13"/>
  <c r="AO75" i="13"/>
  <c r="AO76" i="13"/>
  <c r="AO77" i="13"/>
  <c r="AO78" i="13"/>
  <c r="AO79" i="13"/>
  <c r="AO80" i="13"/>
  <c r="AO81" i="13"/>
  <c r="AO82" i="13"/>
  <c r="AO83" i="13"/>
  <c r="AO84" i="13"/>
  <c r="AO85" i="13"/>
  <c r="AO86" i="13"/>
  <c r="AO87" i="13"/>
  <c r="AO88" i="13"/>
  <c r="AO89" i="13"/>
  <c r="AO90" i="13"/>
  <c r="AO91" i="13"/>
  <c r="AO92" i="13"/>
  <c r="AO93" i="13"/>
  <c r="AO94" i="13"/>
  <c r="AO95" i="13"/>
  <c r="AO96" i="13"/>
  <c r="AO97" i="13"/>
  <c r="AO98" i="13"/>
  <c r="AO99" i="13"/>
  <c r="AO100" i="13"/>
  <c r="AO101" i="13"/>
  <c r="AO102" i="13"/>
  <c r="AO103" i="13"/>
  <c r="AO104" i="13"/>
  <c r="AO105" i="13"/>
  <c r="AO106" i="13"/>
  <c r="AO107" i="13"/>
  <c r="AO108" i="13"/>
  <c r="AO109" i="13"/>
  <c r="AO110" i="13"/>
  <c r="AO111" i="13"/>
  <c r="AO112" i="13"/>
  <c r="AO113" i="13"/>
  <c r="AO114" i="13"/>
  <c r="AO115" i="13"/>
  <c r="AO116" i="13"/>
  <c r="AO117" i="13"/>
  <c r="AO118" i="13"/>
  <c r="AO119" i="13"/>
  <c r="AO120" i="13"/>
  <c r="AO121" i="13"/>
  <c r="AO122" i="13"/>
  <c r="AO123" i="13"/>
  <c r="AO124" i="13"/>
  <c r="AO125" i="13"/>
  <c r="AO126" i="13"/>
  <c r="N58" i="13" s="1"/>
  <c r="AO127" i="13"/>
  <c r="AO128" i="13"/>
  <c r="AO129" i="13"/>
  <c r="AO130" i="13"/>
  <c r="AO131" i="13"/>
  <c r="AO132" i="13"/>
  <c r="AO133" i="13"/>
  <c r="AO134" i="13"/>
  <c r="AO135" i="13"/>
  <c r="AO136" i="13"/>
  <c r="AO137" i="13"/>
  <c r="AO138" i="13"/>
  <c r="AO139" i="13"/>
  <c r="AO140" i="13"/>
  <c r="AO141" i="13"/>
  <c r="AO142" i="13"/>
  <c r="AO143" i="13"/>
  <c r="AO144" i="13"/>
  <c r="AO145" i="13"/>
  <c r="AO146" i="13"/>
  <c r="AO147" i="13"/>
  <c r="AO148" i="13"/>
  <c r="AO149" i="13"/>
  <c r="AO150" i="13"/>
  <c r="AO151" i="13"/>
  <c r="AO152" i="13"/>
  <c r="AO153" i="13"/>
  <c r="AO154" i="13"/>
  <c r="AO155" i="13"/>
  <c r="AO156" i="13"/>
  <c r="AO157" i="13"/>
  <c r="AO158" i="13"/>
  <c r="M1" i="18"/>
  <c r="AO1" i="18"/>
  <c r="AO2" i="18"/>
  <c r="AO3" i="18"/>
  <c r="AO4" i="18"/>
  <c r="AO5" i="18"/>
  <c r="AO6" i="18"/>
  <c r="AO7" i="18"/>
  <c r="AO8" i="18"/>
  <c r="AO9" i="18"/>
  <c r="AO10" i="18"/>
  <c r="I11" i="18"/>
  <c r="AO11" i="18"/>
  <c r="I12" i="18"/>
  <c r="AO12" i="18"/>
  <c r="B13" i="18" s="1"/>
  <c r="AO13" i="18"/>
  <c r="AO14" i="18"/>
  <c r="M15" i="18"/>
  <c r="N15" i="18"/>
  <c r="N17" i="18" s="1"/>
  <c r="O15" i="18"/>
  <c r="AO15" i="18"/>
  <c r="M16" i="18"/>
  <c r="N16" i="18"/>
  <c r="O16" i="18"/>
  <c r="AO16" i="18"/>
  <c r="M17" i="18"/>
  <c r="M18" i="18" s="1"/>
  <c r="O17" i="18"/>
  <c r="O18" i="18" s="1"/>
  <c r="AO17" i="18"/>
  <c r="N18" i="18"/>
  <c r="N19" i="18" s="1"/>
  <c r="AO18" i="18"/>
  <c r="M19" i="18"/>
  <c r="O19" i="18"/>
  <c r="AO19" i="18"/>
  <c r="AO20" i="18"/>
  <c r="AO21" i="18"/>
  <c r="K22" i="18"/>
  <c r="AO22" i="18"/>
  <c r="K23" i="18"/>
  <c r="AO23" i="18"/>
  <c r="K24" i="18"/>
  <c r="AO24" i="18"/>
  <c r="AO25" i="18"/>
  <c r="AO26" i="18"/>
  <c r="AO27" i="18"/>
  <c r="J28" i="18"/>
  <c r="AO28" i="18"/>
  <c r="J29" i="18"/>
  <c r="K29" i="18"/>
  <c r="AO29" i="18"/>
  <c r="K30" i="18"/>
  <c r="M30" i="18"/>
  <c r="N30" i="18"/>
  <c r="O30" i="18"/>
  <c r="AO30" i="18"/>
  <c r="I31" i="18"/>
  <c r="K31" i="18"/>
  <c r="K33" i="18" s="1"/>
  <c r="K34" i="18" s="1"/>
  <c r="M31" i="18"/>
  <c r="N31" i="18"/>
  <c r="N33" i="18" s="1"/>
  <c r="O31" i="18"/>
  <c r="AO31" i="18"/>
  <c r="AO32" i="18"/>
  <c r="I33" i="18"/>
  <c r="M33" i="18"/>
  <c r="O33" i="18"/>
  <c r="O34" i="18" s="1"/>
  <c r="O42" i="18" s="1"/>
  <c r="AO33" i="18"/>
  <c r="I34" i="18"/>
  <c r="I42" i="18" s="1"/>
  <c r="M34" i="18"/>
  <c r="N34" i="18"/>
  <c r="AO34" i="18"/>
  <c r="AO35" i="18"/>
  <c r="K36" i="18"/>
  <c r="K40" i="18" s="1"/>
  <c r="AO36" i="18"/>
  <c r="AO37" i="18"/>
  <c r="AO38" i="18"/>
  <c r="AO39" i="18"/>
  <c r="AO40" i="18"/>
  <c r="B41" i="18"/>
  <c r="AO41" i="18"/>
  <c r="K42" i="18"/>
  <c r="M42" i="18"/>
  <c r="N42" i="18"/>
  <c r="AO42" i="18"/>
  <c r="AO43" i="18"/>
  <c r="AO44" i="18"/>
  <c r="AO45" i="18"/>
  <c r="AO46" i="18"/>
  <c r="AO47" i="18"/>
  <c r="AO48" i="18"/>
  <c r="B56" i="18" s="1"/>
  <c r="AO49" i="18"/>
  <c r="AO50" i="18"/>
  <c r="AO51" i="18"/>
  <c r="B52" i="18"/>
  <c r="AO52" i="18"/>
  <c r="AO53" i="18"/>
  <c r="AO54" i="18"/>
  <c r="AO55" i="18"/>
  <c r="AO56" i="18"/>
  <c r="K57" i="18"/>
  <c r="L57" i="18"/>
  <c r="M57" i="18"/>
  <c r="N57" i="18"/>
  <c r="O57" i="18"/>
  <c r="AO57" i="18"/>
  <c r="N58" i="18"/>
  <c r="AO58" i="18"/>
  <c r="AO59" i="18"/>
  <c r="AO60" i="18"/>
  <c r="AO61" i="18"/>
  <c r="AO62" i="18"/>
  <c r="AO63" i="18"/>
  <c r="AO64" i="18"/>
  <c r="AO65" i="18"/>
  <c r="AO66" i="18"/>
  <c r="AO67" i="18"/>
  <c r="AO68" i="18"/>
  <c r="I69" i="18"/>
  <c r="AO69" i="18"/>
  <c r="AO70" i="18"/>
  <c r="AO71" i="18"/>
  <c r="AO72" i="18"/>
  <c r="AO73" i="18"/>
  <c r="AO74" i="18"/>
  <c r="AO75" i="18"/>
  <c r="AO76" i="18"/>
  <c r="AO77" i="18"/>
  <c r="AO78" i="18"/>
  <c r="AO79" i="18"/>
  <c r="AO80" i="18"/>
  <c r="AO81" i="18"/>
  <c r="AO82" i="18"/>
  <c r="AO83" i="18"/>
  <c r="AO84" i="18"/>
  <c r="AO85" i="18"/>
  <c r="AO86" i="18"/>
  <c r="AO87" i="18"/>
  <c r="AO88" i="18"/>
  <c r="AO89" i="18"/>
  <c r="AO90" i="18"/>
  <c r="AO91" i="18"/>
  <c r="AO92" i="18"/>
  <c r="AO93" i="18"/>
  <c r="AO94" i="18"/>
  <c r="AO95" i="18"/>
  <c r="AO96" i="18"/>
  <c r="AO97" i="18"/>
  <c r="AO98" i="18"/>
  <c r="AO99" i="18"/>
  <c r="AO100" i="18"/>
  <c r="AO101" i="18"/>
  <c r="AO102" i="18"/>
  <c r="AO103" i="18"/>
  <c r="AO104" i="18"/>
  <c r="AO105" i="18"/>
  <c r="AO106" i="18"/>
  <c r="AO107" i="18"/>
  <c r="AO108" i="18"/>
  <c r="AO109" i="18"/>
  <c r="AO110" i="18"/>
  <c r="AO111" i="18"/>
  <c r="AO112" i="18"/>
  <c r="AO113" i="18"/>
  <c r="AO114" i="18"/>
  <c r="AO115" i="18"/>
  <c r="AO116" i="18"/>
  <c r="AO117" i="18"/>
  <c r="AO118" i="18"/>
  <c r="AO119" i="18"/>
  <c r="AO120" i="18"/>
  <c r="AO121" i="18"/>
  <c r="AO122" i="18"/>
  <c r="AO123" i="18"/>
  <c r="AO124" i="18"/>
  <c r="AO125" i="18"/>
  <c r="AO126" i="18"/>
  <c r="AO127" i="18"/>
  <c r="AO128" i="18"/>
  <c r="AO129" i="18"/>
  <c r="AO130" i="18"/>
  <c r="AO131" i="18"/>
  <c r="AO132" i="18"/>
  <c r="AO133" i="18"/>
  <c r="AO134" i="18"/>
  <c r="AO135" i="18"/>
  <c r="AO136" i="18"/>
  <c r="AO137" i="18"/>
  <c r="AO138" i="18"/>
  <c r="AO139" i="18"/>
  <c r="AO140" i="18"/>
  <c r="AO141" i="18"/>
  <c r="AO142" i="18"/>
  <c r="AO143" i="18"/>
  <c r="AO144" i="18"/>
  <c r="AO145" i="18"/>
  <c r="AO146" i="18"/>
  <c r="AO147" i="18"/>
  <c r="AO148" i="18"/>
  <c r="AO149" i="18"/>
  <c r="AO150" i="18"/>
  <c r="AO151" i="18"/>
  <c r="AO152" i="18"/>
  <c r="AO153" i="18"/>
  <c r="AO154" i="18"/>
  <c r="M1" i="8"/>
  <c r="AO1" i="8"/>
  <c r="AO2" i="8"/>
  <c r="AO3" i="8"/>
  <c r="AO4" i="8"/>
  <c r="AO5" i="8"/>
  <c r="AO6" i="8"/>
  <c r="AO7" i="8"/>
  <c r="AO8" i="8"/>
  <c r="AO9" i="8"/>
  <c r="AO10" i="8"/>
  <c r="I11" i="8"/>
  <c r="AO11" i="8"/>
  <c r="I12" i="8"/>
  <c r="AO12" i="8"/>
  <c r="B13" i="8"/>
  <c r="AO13" i="8"/>
  <c r="AO14" i="8"/>
  <c r="M15" i="8"/>
  <c r="M17" i="8" s="1"/>
  <c r="N15" i="8"/>
  <c r="O15" i="8"/>
  <c r="O17" i="8" s="1"/>
  <c r="O18" i="8" s="1"/>
  <c r="O19" i="8" s="1"/>
  <c r="AO15" i="8"/>
  <c r="M16" i="8"/>
  <c r="N16" i="8"/>
  <c r="O16" i="8"/>
  <c r="AO16" i="8"/>
  <c r="N17" i="8"/>
  <c r="N18" i="8" s="1"/>
  <c r="AO17" i="8"/>
  <c r="M18" i="8"/>
  <c r="M19" i="8" s="1"/>
  <c r="AO18" i="8"/>
  <c r="N19" i="8"/>
  <c r="AO19" i="8"/>
  <c r="AO20" i="8"/>
  <c r="AO21" i="8"/>
  <c r="K22" i="8"/>
  <c r="AO22" i="8"/>
  <c r="K23" i="8"/>
  <c r="AO23" i="8"/>
  <c r="K24" i="8"/>
  <c r="AO24" i="8"/>
  <c r="AO25" i="8"/>
  <c r="AO26" i="8"/>
  <c r="AO27" i="8"/>
  <c r="J28" i="8"/>
  <c r="AO28" i="8"/>
  <c r="J29" i="8"/>
  <c r="M28" i="8" s="1"/>
  <c r="K29" i="8"/>
  <c r="AO29" i="8"/>
  <c r="K30" i="8"/>
  <c r="M30" i="8"/>
  <c r="N30" i="8"/>
  <c r="O30" i="8"/>
  <c r="AO30" i="8"/>
  <c r="I31" i="8"/>
  <c r="K31" i="8"/>
  <c r="K33" i="8" s="1"/>
  <c r="K34" i="8" s="1"/>
  <c r="K42" i="8" s="1"/>
  <c r="M31" i="8"/>
  <c r="N31" i="8"/>
  <c r="N33" i="8" s="1"/>
  <c r="N34" i="8" s="1"/>
  <c r="O31" i="8"/>
  <c r="AO31" i="8"/>
  <c r="AO32" i="8"/>
  <c r="I33" i="8"/>
  <c r="M33" i="8"/>
  <c r="O33" i="8"/>
  <c r="AO33" i="8"/>
  <c r="I34" i="8"/>
  <c r="I42" i="8" s="1"/>
  <c r="M34" i="8"/>
  <c r="M42" i="8" s="1"/>
  <c r="O34" i="8"/>
  <c r="O42" i="8" s="1"/>
  <c r="AO34" i="8"/>
  <c r="AO35" i="8"/>
  <c r="AO36" i="8"/>
  <c r="AO37" i="8"/>
  <c r="AO38" i="8"/>
  <c r="AO39" i="8"/>
  <c r="K40" i="8"/>
  <c r="AO40" i="8"/>
  <c r="B41" i="8"/>
  <c r="AO41" i="8"/>
  <c r="N42" i="8"/>
  <c r="AO42" i="8"/>
  <c r="AO43" i="8"/>
  <c r="AO44" i="8"/>
  <c r="AO45" i="8"/>
  <c r="AO46" i="8"/>
  <c r="AO47" i="8"/>
  <c r="AO48" i="8"/>
  <c r="B56" i="8" s="1"/>
  <c r="AO49" i="8"/>
  <c r="B49" i="13" s="1"/>
  <c r="AO50" i="8"/>
  <c r="AO51" i="8"/>
  <c r="B52" i="8"/>
  <c r="AO52" i="8"/>
  <c r="AO53" i="8"/>
  <c r="AO54" i="8"/>
  <c r="AO55" i="8"/>
  <c r="AO56" i="8"/>
  <c r="K57" i="8"/>
  <c r="L57" i="8"/>
  <c r="M57" i="8"/>
  <c r="N57" i="8"/>
  <c r="O57" i="8"/>
  <c r="AO57" i="8"/>
  <c r="N58" i="8"/>
  <c r="AO58" i="8"/>
  <c r="AO59" i="8"/>
  <c r="AO60" i="8"/>
  <c r="AO61" i="8"/>
  <c r="AO62" i="8"/>
  <c r="AO63" i="8"/>
  <c r="AO64" i="8"/>
  <c r="AO65" i="8"/>
  <c r="AO66" i="8"/>
  <c r="AO67" i="8"/>
  <c r="AO68" i="8"/>
  <c r="I69" i="8"/>
  <c r="AO69" i="8"/>
  <c r="AO70" i="8"/>
  <c r="AO71" i="8"/>
  <c r="AO72" i="8"/>
  <c r="AO73" i="8"/>
  <c r="AO74" i="8"/>
  <c r="AO75" i="8"/>
  <c r="AO76" i="8"/>
  <c r="AO77" i="8"/>
  <c r="AO78" i="8"/>
  <c r="AO79" i="8"/>
  <c r="AO80" i="8"/>
  <c r="AO81" i="8"/>
  <c r="AO82" i="8"/>
  <c r="AO83" i="8"/>
  <c r="AO84" i="8"/>
  <c r="AO85" i="8"/>
  <c r="AO86" i="8"/>
  <c r="AO87" i="8"/>
  <c r="AO88" i="8"/>
  <c r="AO89" i="8"/>
  <c r="AO90" i="8"/>
  <c r="AO91" i="8"/>
  <c r="AO92" i="8"/>
  <c r="AO93" i="8"/>
  <c r="AO94" i="8"/>
  <c r="AO95" i="8"/>
  <c r="AO96" i="8"/>
  <c r="AO97" i="8"/>
  <c r="AO98" i="8"/>
  <c r="AO99" i="8"/>
  <c r="AO100" i="8"/>
  <c r="AO101" i="8"/>
  <c r="AO102" i="8"/>
  <c r="AO103" i="8"/>
  <c r="AO104" i="8"/>
  <c r="AO105" i="8"/>
  <c r="AO106" i="8"/>
  <c r="AO107" i="8"/>
  <c r="AO108" i="8"/>
  <c r="AO109" i="8"/>
  <c r="AO110" i="8"/>
  <c r="AO111" i="8"/>
  <c r="AO112" i="8"/>
  <c r="AO113" i="8"/>
  <c r="AO114" i="8"/>
  <c r="AO115" i="8"/>
  <c r="AO116" i="8"/>
  <c r="AO117" i="8"/>
  <c r="AO118" i="8"/>
  <c r="AO119" i="8"/>
  <c r="AO120" i="8"/>
  <c r="AO121" i="8"/>
  <c r="AO122" i="8"/>
  <c r="AO123" i="8"/>
  <c r="AO124" i="8"/>
  <c r="AO125" i="8"/>
  <c r="AO126" i="8"/>
  <c r="AO127" i="8"/>
  <c r="AO128" i="8"/>
  <c r="AO129" i="8"/>
  <c r="AO130" i="8"/>
  <c r="AO131" i="8"/>
  <c r="AO132" i="8"/>
  <c r="AO133" i="8"/>
  <c r="AO134" i="8"/>
  <c r="AO135" i="8"/>
  <c r="AO136" i="8"/>
  <c r="AO137" i="8"/>
  <c r="AO138" i="8"/>
  <c r="AO139" i="8"/>
  <c r="AO140" i="8"/>
  <c r="AO141" i="8"/>
  <c r="AO142" i="8"/>
  <c r="AO143" i="8"/>
  <c r="AO144" i="8"/>
  <c r="AO145" i="8"/>
  <c r="AO146" i="8"/>
  <c r="AO147" i="8"/>
  <c r="AO148" i="8"/>
  <c r="AO149" i="8"/>
  <c r="AO150" i="8"/>
  <c r="AO151" i="8"/>
  <c r="AO152" i="8"/>
  <c r="AO153" i="8"/>
  <c r="AO154" i="8"/>
  <c r="M1" i="4"/>
  <c r="AO1" i="4"/>
  <c r="AO2" i="4"/>
  <c r="AO3" i="4"/>
  <c r="AO4" i="4"/>
  <c r="AO5" i="4"/>
  <c r="AO6" i="4"/>
  <c r="AO7" i="4"/>
  <c r="AO8" i="4"/>
  <c r="AO9" i="4"/>
  <c r="AO10" i="4"/>
  <c r="I11" i="4"/>
  <c r="J11" i="4"/>
  <c r="AO11" i="4"/>
  <c r="I12" i="4"/>
  <c r="AO12" i="4"/>
  <c r="B13" i="4"/>
  <c r="AO13" i="4"/>
  <c r="AO14" i="4"/>
  <c r="M15" i="4"/>
  <c r="N15" i="4"/>
  <c r="O15" i="4"/>
  <c r="AO15" i="4"/>
  <c r="B16" i="4"/>
  <c r="M16" i="4"/>
  <c r="N16" i="4"/>
  <c r="O16" i="4"/>
  <c r="AO16" i="4"/>
  <c r="M17" i="4"/>
  <c r="M18" i="4" s="1"/>
  <c r="M19" i="4" s="1"/>
  <c r="N17" i="4"/>
  <c r="O17" i="4"/>
  <c r="O18" i="4" s="1"/>
  <c r="AO17" i="4"/>
  <c r="N18" i="4"/>
  <c r="N19" i="4" s="1"/>
  <c r="AO18" i="4"/>
  <c r="O19" i="4"/>
  <c r="AO19" i="4"/>
  <c r="K20" i="4"/>
  <c r="L20" i="4"/>
  <c r="M20" i="4"/>
  <c r="N20" i="4"/>
  <c r="O20" i="4"/>
  <c r="AO20" i="4"/>
  <c r="O21" i="4"/>
  <c r="AO21" i="4"/>
  <c r="B22" i="4"/>
  <c r="AO22" i="4"/>
  <c r="AO23" i="4"/>
  <c r="N24" i="4"/>
  <c r="O24" i="4"/>
  <c r="AO24" i="4"/>
  <c r="I25" i="4"/>
  <c r="K25" i="4"/>
  <c r="I22" i="3" s="1"/>
  <c r="M25" i="4"/>
  <c r="G12" i="20" s="1"/>
  <c r="N25" i="4"/>
  <c r="O25" i="4" s="1"/>
  <c r="AO25" i="4"/>
  <c r="AO26" i="4"/>
  <c r="AO27" i="4"/>
  <c r="AO28" i="4"/>
  <c r="AO29" i="4"/>
  <c r="AO30" i="4"/>
  <c r="AO31" i="4"/>
  <c r="J32" i="4"/>
  <c r="AO32" i="4"/>
  <c r="J33" i="4"/>
  <c r="AO33" i="4"/>
  <c r="J34" i="4"/>
  <c r="AO34" i="4"/>
  <c r="AO35" i="4"/>
  <c r="AO36" i="4"/>
  <c r="AO37" i="4"/>
  <c r="K38" i="4"/>
  <c r="M38" i="4"/>
  <c r="AO38" i="4"/>
  <c r="B39" i="4"/>
  <c r="AO39" i="4"/>
  <c r="AO40" i="4"/>
  <c r="I41" i="4"/>
  <c r="I40" i="4" s="1"/>
  <c r="K41" i="4"/>
  <c r="K40" i="4" s="1"/>
  <c r="M41" i="4"/>
  <c r="M40" i="4" s="1"/>
  <c r="N41" i="4"/>
  <c r="N40" i="4" s="1"/>
  <c r="AO41" i="4"/>
  <c r="B42" i="4"/>
  <c r="AO42" i="4"/>
  <c r="I43" i="4"/>
  <c r="K43" i="4"/>
  <c r="L43" i="4"/>
  <c r="M43" i="4"/>
  <c r="N43" i="4"/>
  <c r="AO43" i="4"/>
  <c r="K44" i="4"/>
  <c r="M44" i="4"/>
  <c r="N44" i="4"/>
  <c r="O44" i="4"/>
  <c r="AO44" i="4"/>
  <c r="AO45" i="4"/>
  <c r="B46" i="4"/>
  <c r="AO46" i="4"/>
  <c r="AO47" i="4"/>
  <c r="AO48" i="4"/>
  <c r="AO49" i="4"/>
  <c r="AO50" i="4"/>
  <c r="AO51" i="4"/>
  <c r="AO52" i="4"/>
  <c r="AO53" i="4"/>
  <c r="AO54" i="4"/>
  <c r="AO55" i="4"/>
  <c r="K56" i="4"/>
  <c r="L56" i="4"/>
  <c r="M56" i="4"/>
  <c r="N56" i="4"/>
  <c r="O56" i="4"/>
  <c r="AO56" i="4"/>
  <c r="N57" i="4"/>
  <c r="AO57" i="4"/>
  <c r="AO58" i="4"/>
  <c r="AO59" i="4"/>
  <c r="AO60" i="4"/>
  <c r="AO61" i="4"/>
  <c r="AO62" i="4"/>
  <c r="AO63" i="4"/>
  <c r="AO64" i="4"/>
  <c r="AO65" i="4"/>
  <c r="AO66" i="4"/>
  <c r="AO67" i="4"/>
  <c r="H68" i="4"/>
  <c r="AO68" i="4"/>
  <c r="B69" i="4"/>
  <c r="AO69" i="4"/>
  <c r="AO70" i="4"/>
  <c r="AO71" i="4"/>
  <c r="AO72" i="4"/>
  <c r="AO73" i="4"/>
  <c r="AO74" i="4"/>
  <c r="AO75" i="4"/>
  <c r="AO76" i="4"/>
  <c r="AO77" i="4"/>
  <c r="AO78" i="4"/>
  <c r="AO79" i="4"/>
  <c r="AO80" i="4"/>
  <c r="AO81" i="4"/>
  <c r="AO82" i="4"/>
  <c r="AO83" i="4"/>
  <c r="AO84" i="4"/>
  <c r="AO85" i="4"/>
  <c r="AO86" i="4"/>
  <c r="AO87" i="4"/>
  <c r="AO88" i="4"/>
  <c r="AO89" i="4"/>
  <c r="AO90" i="4"/>
  <c r="AO91" i="4"/>
  <c r="AO92" i="4"/>
  <c r="AO93" i="4"/>
  <c r="AO94" i="4"/>
  <c r="AO95" i="4"/>
  <c r="AO96" i="4"/>
  <c r="AO97" i="4"/>
  <c r="AO98" i="4"/>
  <c r="AO99" i="4"/>
  <c r="AO100" i="4"/>
  <c r="AO101" i="4"/>
  <c r="AO102" i="4"/>
  <c r="AO103" i="4"/>
  <c r="AO104" i="4"/>
  <c r="AO105" i="4"/>
  <c r="AO106" i="4"/>
  <c r="AO107" i="4"/>
  <c r="AO108" i="4"/>
  <c r="AO109" i="4"/>
  <c r="AO110" i="4"/>
  <c r="AO111" i="4"/>
  <c r="AO112" i="4"/>
  <c r="AO113" i="4"/>
  <c r="AO114" i="4"/>
  <c r="AO115" i="4"/>
  <c r="AO116" i="4"/>
  <c r="AO117" i="4"/>
  <c r="AO118" i="4"/>
  <c r="AO119" i="4"/>
  <c r="AO120" i="4"/>
  <c r="AO121" i="4"/>
  <c r="AO122" i="4"/>
  <c r="AO123" i="4"/>
  <c r="AO124" i="4"/>
  <c r="AO125" i="4"/>
  <c r="AO126" i="4"/>
  <c r="AO127" i="4"/>
  <c r="AO128" i="4"/>
  <c r="K1" i="19"/>
  <c r="O1" i="19"/>
  <c r="O2" i="19"/>
  <c r="O3" i="19"/>
  <c r="O4" i="19"/>
  <c r="O5" i="19"/>
  <c r="O6" i="19"/>
  <c r="O7" i="19"/>
  <c r="O8" i="19"/>
  <c r="B26" i="4" s="1"/>
  <c r="O9" i="19"/>
  <c r="O10" i="19"/>
  <c r="O11" i="19"/>
  <c r="O12" i="19"/>
  <c r="O13" i="19"/>
  <c r="J14" i="19"/>
  <c r="O14" i="19"/>
  <c r="O15" i="19"/>
  <c r="O16" i="19"/>
  <c r="O17" i="19"/>
  <c r="O18" i="19"/>
  <c r="O19" i="19"/>
  <c r="O20" i="19"/>
  <c r="O21" i="19"/>
  <c r="O22" i="19"/>
  <c r="O23" i="19"/>
  <c r="O24" i="19"/>
  <c r="O25" i="19"/>
  <c r="O26" i="19"/>
  <c r="D27" i="19"/>
  <c r="O27" i="19"/>
  <c r="D28" i="19"/>
  <c r="O28" i="19"/>
  <c r="D29" i="19"/>
  <c r="O29" i="19"/>
  <c r="D30" i="19"/>
  <c r="O30" i="19"/>
  <c r="D31" i="19"/>
  <c r="O31" i="19"/>
  <c r="D32" i="19"/>
  <c r="O32" i="19"/>
  <c r="D33" i="19"/>
  <c r="O33" i="19"/>
  <c r="D34" i="19"/>
  <c r="O34" i="19"/>
  <c r="D35" i="19"/>
  <c r="O35" i="19"/>
  <c r="D36" i="19"/>
  <c r="O36" i="19"/>
  <c r="O37" i="19"/>
  <c r="O38" i="19"/>
  <c r="O39" i="19"/>
  <c r="O40" i="19"/>
  <c r="O41" i="19"/>
  <c r="O42" i="19"/>
  <c r="O43" i="19"/>
  <c r="O44" i="19"/>
  <c r="G45" i="19"/>
  <c r="O45" i="19"/>
  <c r="B43" i="8" s="1"/>
  <c r="G46" i="19"/>
  <c r="O46" i="19"/>
  <c r="B43" i="18" s="1"/>
  <c r="F47" i="19"/>
  <c r="H69" i="13" s="1"/>
  <c r="O47" i="19"/>
  <c r="G48" i="19"/>
  <c r="O48" i="19"/>
  <c r="O49" i="19"/>
  <c r="O50" i="19"/>
  <c r="AN1" i="10"/>
  <c r="AN2" i="10"/>
  <c r="AN3" i="10"/>
  <c r="AN4" i="10"/>
  <c r="AN5" i="10"/>
  <c r="AN6" i="10"/>
  <c r="AN7" i="10"/>
  <c r="AN8" i="10"/>
  <c r="AN9" i="10"/>
  <c r="AN10" i="10"/>
  <c r="AN11" i="10"/>
  <c r="AN12" i="10"/>
  <c r="AN13" i="10"/>
  <c r="AN14" i="10"/>
  <c r="B15" i="10"/>
  <c r="AN15" i="10"/>
  <c r="AN16" i="10"/>
  <c r="AN17" i="10"/>
  <c r="AN18" i="10"/>
  <c r="AN19" i="10"/>
  <c r="AN20" i="10"/>
  <c r="AN21" i="10"/>
  <c r="AN22" i="10"/>
  <c r="AN23" i="10"/>
  <c r="AN24" i="10"/>
  <c r="AN25" i="10"/>
  <c r="AN26" i="10"/>
  <c r="AN27" i="10"/>
  <c r="AN28" i="10"/>
  <c r="AN29" i="10"/>
  <c r="AN30" i="10"/>
  <c r="AN31" i="10"/>
  <c r="AN32" i="10"/>
  <c r="AN33" i="10"/>
  <c r="AN34" i="10"/>
  <c r="AN35" i="10"/>
  <c r="AN36" i="10"/>
  <c r="AN37" i="10"/>
  <c r="AN38" i="10"/>
  <c r="AN39" i="10"/>
  <c r="AN40" i="10"/>
  <c r="AN41" i="10"/>
  <c r="AN42" i="10"/>
  <c r="AN43" i="10"/>
  <c r="AN44" i="10"/>
  <c r="AN45" i="10"/>
  <c r="AN46" i="10"/>
  <c r="AN47" i="10"/>
  <c r="AN48" i="10"/>
  <c r="AN49" i="10"/>
  <c r="AN50" i="10"/>
  <c r="AN51" i="10"/>
  <c r="AN52" i="10"/>
  <c r="AN53" i="10"/>
  <c r="AN54" i="10"/>
  <c r="AN55" i="10"/>
  <c r="AN56" i="10"/>
  <c r="AN57" i="10"/>
  <c r="AN58" i="10"/>
  <c r="AN59" i="10"/>
  <c r="AN60" i="10"/>
  <c r="AN61" i="10"/>
  <c r="AN62" i="10"/>
  <c r="AN63" i="10"/>
  <c r="AN64" i="10"/>
  <c r="AN65" i="10"/>
  <c r="AN66" i="10"/>
  <c r="AN67" i="10"/>
  <c r="AN68" i="10"/>
  <c r="AN69" i="10"/>
  <c r="AN70" i="10"/>
  <c r="AN71" i="10"/>
  <c r="AN72" i="10"/>
  <c r="AN73" i="10"/>
  <c r="AN74" i="10"/>
  <c r="AN75" i="10"/>
  <c r="AN76" i="10"/>
  <c r="AN77" i="10"/>
  <c r="AN78" i="10"/>
  <c r="AN79" i="10"/>
  <c r="AN80" i="10"/>
  <c r="AN81" i="10"/>
  <c r="AN82" i="10"/>
  <c r="L83" i="10"/>
  <c r="AN83" i="10"/>
  <c r="AN84" i="10"/>
  <c r="AN85" i="10"/>
  <c r="AN86" i="10"/>
  <c r="AN87" i="10"/>
  <c r="AN88" i="10"/>
  <c r="AN89" i="10"/>
  <c r="B90" i="10"/>
  <c r="AN90" i="10"/>
  <c r="AN91" i="10"/>
  <c r="AN92" i="10"/>
  <c r="AN93" i="10"/>
  <c r="AN94" i="10"/>
  <c r="AN95" i="10"/>
  <c r="AN96" i="10"/>
  <c r="AN97" i="10"/>
  <c r="AN98" i="10"/>
  <c r="AN99" i="10"/>
  <c r="AN100" i="10"/>
  <c r="AN101" i="10"/>
  <c r="AN102" i="10"/>
  <c r="AN103" i="10"/>
  <c r="AN104" i="10"/>
  <c r="AN105" i="10"/>
  <c r="AN106" i="10"/>
  <c r="AN107" i="10"/>
  <c r="AN108" i="10"/>
  <c r="AN109" i="10"/>
  <c r="AN110" i="10"/>
  <c r="AN111" i="10"/>
  <c r="AN112" i="10"/>
  <c r="AN113" i="10"/>
  <c r="AN114" i="10"/>
  <c r="P115" i="10"/>
  <c r="AN115" i="10"/>
  <c r="AN116" i="10"/>
  <c r="AN117" i="10"/>
  <c r="G118" i="10"/>
  <c r="E61" i="22" s="1"/>
  <c r="H118" i="10"/>
  <c r="F61" i="22" s="1"/>
  <c r="AN118" i="10"/>
  <c r="I119" i="10"/>
  <c r="I55" i="22" s="1"/>
  <c r="K119" i="10"/>
  <c r="K55" i="22" s="1"/>
  <c r="L119" i="10"/>
  <c r="L55" i="22" s="1"/>
  <c r="M119" i="10"/>
  <c r="M55" i="22" s="1"/>
  <c r="N119" i="10"/>
  <c r="N55" i="22" s="1"/>
  <c r="AN119" i="10"/>
  <c r="I120" i="10"/>
  <c r="I56" i="22" s="1"/>
  <c r="K120" i="10"/>
  <c r="K56" i="22" s="1"/>
  <c r="L120" i="10"/>
  <c r="L56" i="22" s="1"/>
  <c r="M120" i="10"/>
  <c r="M56" i="22" s="1"/>
  <c r="AN120" i="10"/>
  <c r="I121" i="10"/>
  <c r="I57" i="22" s="1"/>
  <c r="K121" i="10"/>
  <c r="K57" i="22" s="1"/>
  <c r="L121" i="10"/>
  <c r="L57" i="22" s="1"/>
  <c r="M121" i="10"/>
  <c r="M57" i="22" s="1"/>
  <c r="AN121" i="10"/>
  <c r="I122" i="10"/>
  <c r="I58" i="22" s="1"/>
  <c r="K122" i="10"/>
  <c r="K58" i="22" s="1"/>
  <c r="L122" i="10"/>
  <c r="L58" i="22" s="1"/>
  <c r="M122" i="10"/>
  <c r="M58" i="22" s="1"/>
  <c r="AN122" i="10"/>
  <c r="K123" i="10"/>
  <c r="K59" i="22" s="1"/>
  <c r="M123" i="10"/>
  <c r="M59" i="22" s="1"/>
  <c r="AN123" i="10"/>
  <c r="P124" i="10"/>
  <c r="AN124" i="10"/>
  <c r="AN125" i="10"/>
  <c r="AN126" i="10"/>
  <c r="AN127" i="10"/>
  <c r="AN128" i="10"/>
  <c r="AN129" i="10"/>
  <c r="AN130" i="10"/>
  <c r="AN131" i="10"/>
  <c r="AN132" i="10"/>
  <c r="AN133" i="10"/>
  <c r="AN134" i="10"/>
  <c r="AN135" i="10"/>
  <c r="AN136" i="10"/>
  <c r="AN137" i="10"/>
  <c r="AN138" i="10"/>
  <c r="AN139" i="10"/>
  <c r="AN140" i="10"/>
  <c r="AN141" i="10"/>
  <c r="AN142" i="10"/>
  <c r="AN143" i="10"/>
  <c r="AN144" i="10"/>
  <c r="AN145" i="10"/>
  <c r="AN146" i="10"/>
  <c r="AN147" i="10"/>
  <c r="I148" i="10"/>
  <c r="K148" i="10"/>
  <c r="L148" i="10"/>
  <c r="M148" i="10"/>
  <c r="N148" i="10"/>
  <c r="O148" i="10"/>
  <c r="AN148" i="10"/>
  <c r="AN149" i="10"/>
  <c r="AN150" i="10"/>
  <c r="AN151" i="10"/>
  <c r="AN152" i="10"/>
  <c r="AN153" i="10"/>
  <c r="AN154" i="10"/>
  <c r="AN155" i="10"/>
  <c r="AN156" i="10"/>
  <c r="AM157" i="10"/>
  <c r="AN157" i="10"/>
  <c r="AN158" i="10"/>
  <c r="AN159" i="10"/>
  <c r="AN160" i="10"/>
  <c r="P161" i="10"/>
  <c r="AN161" i="10"/>
  <c r="AN162" i="10"/>
  <c r="AN163" i="10"/>
  <c r="AN164" i="10"/>
  <c r="AN165" i="10"/>
  <c r="AN166" i="10"/>
  <c r="I167" i="10"/>
  <c r="J167" i="10"/>
  <c r="K167" i="10"/>
  <c r="L167" i="10"/>
  <c r="M167" i="10"/>
  <c r="N167" i="10"/>
  <c r="O167" i="10"/>
  <c r="AN167" i="10"/>
  <c r="AN168" i="10"/>
  <c r="AN169" i="10"/>
  <c r="AN170" i="10"/>
  <c r="AN171" i="10"/>
  <c r="AN172" i="10"/>
  <c r="AN173" i="10"/>
  <c r="AN174" i="10"/>
  <c r="AN175" i="10"/>
  <c r="AN176" i="10"/>
  <c r="AN177" i="10"/>
  <c r="AN178" i="10"/>
  <c r="AN179" i="10"/>
  <c r="AN180" i="10"/>
  <c r="AN181" i="10"/>
  <c r="AN182" i="10"/>
  <c r="AN183" i="10"/>
  <c r="I9" i="15" l="1"/>
  <c r="P43" i="22"/>
  <c r="P6" i="11"/>
  <c r="P7" i="9"/>
  <c r="P7" i="13"/>
  <c r="P7" i="18"/>
  <c r="P7" i="8"/>
  <c r="P7" i="4"/>
  <c r="Q115" i="10"/>
  <c r="P148" i="10"/>
  <c r="P167" i="10" s="1"/>
  <c r="G15" i="10"/>
  <c r="B50" i="4"/>
  <c r="J189" i="3"/>
  <c r="K23" i="13" s="1"/>
  <c r="K25" i="18"/>
  <c r="K25" i="8"/>
  <c r="P42" i="8"/>
  <c r="K46" i="8"/>
  <c r="B16" i="9"/>
  <c r="B16" i="13"/>
  <c r="B16" i="18"/>
  <c r="B16" i="8"/>
  <c r="B15" i="9"/>
  <c r="B15" i="13"/>
  <c r="B15" i="8"/>
  <c r="B15" i="4"/>
  <c r="J11" i="9"/>
  <c r="J11" i="13"/>
  <c r="J11" i="18"/>
  <c r="B43" i="13"/>
  <c r="I12" i="20"/>
  <c r="J11" i="8"/>
  <c r="N46" i="18"/>
  <c r="N121" i="10" s="1"/>
  <c r="N57" i="22" s="1"/>
  <c r="K46" i="18"/>
  <c r="N46" i="8"/>
  <c r="N120" i="10" s="1"/>
  <c r="N56" i="22" s="1"/>
  <c r="B15" i="18"/>
  <c r="M28" i="18"/>
  <c r="B43" i="9"/>
  <c r="M28" i="13"/>
  <c r="J120" i="3"/>
  <c r="W122" i="3"/>
  <c r="X122" i="3" s="1"/>
  <c r="L120" i="3"/>
  <c r="K121" i="3"/>
  <c r="B107" i="3"/>
  <c r="B110" i="3"/>
  <c r="B100" i="3"/>
  <c r="L213" i="3"/>
  <c r="M23" i="9" s="1"/>
  <c r="W124" i="3"/>
  <c r="T125" i="3"/>
  <c r="W119" i="3"/>
  <c r="I120" i="3"/>
  <c r="J11" i="3"/>
  <c r="L24" i="3"/>
  <c r="L22" i="3"/>
  <c r="J24" i="3"/>
  <c r="L38" i="4" s="1"/>
  <c r="J112" i="3"/>
  <c r="G22" i="3"/>
  <c r="G24" i="3"/>
  <c r="I38" i="4" s="1"/>
  <c r="G112" i="3"/>
  <c r="I123" i="10" s="1"/>
  <c r="I59" i="22" s="1"/>
  <c r="B37" i="3"/>
  <c r="T32" i="16"/>
  <c r="T15" i="16" s="1"/>
  <c r="L31" i="16"/>
  <c r="L16" i="16"/>
  <c r="K22" i="3"/>
  <c r="K11" i="3"/>
  <c r="K17" i="3" s="1"/>
  <c r="I11" i="3"/>
  <c r="H23" i="16"/>
  <c r="O23" i="16"/>
  <c r="P23" i="16" s="1"/>
  <c r="I31" i="20"/>
  <c r="I29" i="20"/>
  <c r="G122" i="3"/>
  <c r="G40" i="4"/>
  <c r="M73" i="22"/>
  <c r="M89" i="22"/>
  <c r="M96" i="22" s="1"/>
  <c r="K73" i="22"/>
  <c r="K89" i="22"/>
  <c r="K96" i="22" s="1"/>
  <c r="J59" i="22"/>
  <c r="I73" i="22"/>
  <c r="I89" i="22"/>
  <c r="I96" i="22" s="1"/>
  <c r="M88" i="22"/>
  <c r="L88" i="22"/>
  <c r="K88" i="22"/>
  <c r="J58" i="22"/>
  <c r="I88" i="22"/>
  <c r="N71" i="22"/>
  <c r="N78" i="22" s="1"/>
  <c r="N172" i="10" s="1"/>
  <c r="N87" i="22"/>
  <c r="N94" i="22" s="1"/>
  <c r="N101" i="22" s="1"/>
  <c r="N181" i="10" s="1"/>
  <c r="M71" i="22"/>
  <c r="M78" i="22" s="1"/>
  <c r="M172" i="10" s="1"/>
  <c r="M87" i="22"/>
  <c r="M94" i="22" s="1"/>
  <c r="M101" i="22" s="1"/>
  <c r="M181" i="10" s="1"/>
  <c r="L71" i="22"/>
  <c r="L78" i="22" s="1"/>
  <c r="L172" i="10" s="1"/>
  <c r="L87" i="22"/>
  <c r="L94" i="22" s="1"/>
  <c r="L101" i="22" s="1"/>
  <c r="L181" i="10" s="1"/>
  <c r="K71" i="22"/>
  <c r="K78" i="22" s="1"/>
  <c r="K172" i="10" s="1"/>
  <c r="K87" i="22"/>
  <c r="K94" i="22" s="1"/>
  <c r="K101" i="22" s="1"/>
  <c r="K181" i="10" s="1"/>
  <c r="J57" i="22"/>
  <c r="I71" i="22"/>
  <c r="I78" i="22" s="1"/>
  <c r="I172" i="10" s="1"/>
  <c r="I87" i="22"/>
  <c r="I94" i="22" s="1"/>
  <c r="I101" i="22" s="1"/>
  <c r="I181" i="10" s="1"/>
  <c r="N70" i="22"/>
  <c r="N77" i="22" s="1"/>
  <c r="N171" i="10" s="1"/>
  <c r="N86" i="22"/>
  <c r="N93" i="22" s="1"/>
  <c r="N100" i="22" s="1"/>
  <c r="N180" i="10" s="1"/>
  <c r="M70" i="22"/>
  <c r="M77" i="22" s="1"/>
  <c r="M86" i="22"/>
  <c r="M93" i="22" s="1"/>
  <c r="M100" i="22" s="1"/>
  <c r="M180" i="10" s="1"/>
  <c r="L70" i="22"/>
  <c r="L77" i="22" s="1"/>
  <c r="L171" i="10" s="1"/>
  <c r="L86" i="22"/>
  <c r="L93" i="22" s="1"/>
  <c r="L100" i="22" s="1"/>
  <c r="L180" i="10" s="1"/>
  <c r="K70" i="22"/>
  <c r="K77" i="22" s="1"/>
  <c r="K171" i="10" s="1"/>
  <c r="K86" i="22"/>
  <c r="K93" i="22" s="1"/>
  <c r="K100" i="22" s="1"/>
  <c r="K180" i="10" s="1"/>
  <c r="J56" i="22"/>
  <c r="I70" i="22"/>
  <c r="I77" i="22" s="1"/>
  <c r="I171" i="10" s="1"/>
  <c r="I86" i="22"/>
  <c r="I93" i="22" s="1"/>
  <c r="I100" i="22" s="1"/>
  <c r="I180" i="10" s="1"/>
  <c r="N69" i="22"/>
  <c r="N76" i="22" s="1"/>
  <c r="N85" i="22"/>
  <c r="M54" i="22"/>
  <c r="M69" i="22"/>
  <c r="M76" i="22" s="1"/>
  <c r="M85" i="22"/>
  <c r="L69" i="22"/>
  <c r="L76" i="22" s="1"/>
  <c r="L85" i="22"/>
  <c r="K54" i="22"/>
  <c r="K69" i="22"/>
  <c r="K76" i="22" s="1"/>
  <c r="K85" i="22"/>
  <c r="I54" i="22"/>
  <c r="J55" i="22"/>
  <c r="I69" i="22"/>
  <c r="I76" i="22" s="1"/>
  <c r="I85" i="22"/>
  <c r="L214" i="3"/>
  <c r="M24" i="9"/>
  <c r="L215" i="3"/>
  <c r="M25" i="9"/>
  <c r="N25" i="9" s="1"/>
  <c r="L216" i="3"/>
  <c r="M26" i="9"/>
  <c r="N26" i="9" s="1"/>
  <c r="M118" i="10"/>
  <c r="K118" i="10"/>
  <c r="I118" i="10"/>
  <c r="I7" i="11" s="1"/>
  <c r="J28" i="9"/>
  <c r="J29" i="9" s="1"/>
  <c r="M28" i="9" s="1"/>
  <c r="I122" i="3"/>
  <c r="I124" i="3" s="1"/>
  <c r="J122" i="3"/>
  <c r="J124" i="3" s="1"/>
  <c r="J129" i="3" s="1"/>
  <c r="K122" i="3"/>
  <c r="K123" i="3" s="1"/>
  <c r="T16" i="16"/>
  <c r="T17" i="16"/>
  <c r="S16" i="16"/>
  <c r="S17" i="16"/>
  <c r="O28" i="8"/>
  <c r="N28" i="8"/>
  <c r="O28" i="18"/>
  <c r="N28" i="18"/>
  <c r="O28" i="13"/>
  <c r="O50" i="13" s="1"/>
  <c r="N28" i="13"/>
  <c r="N50" i="13" s="1"/>
  <c r="O28" i="9"/>
  <c r="O50" i="9" s="1"/>
  <c r="N28" i="9"/>
  <c r="N50" i="9" s="1"/>
  <c r="L26" i="3" l="1"/>
  <c r="J36" i="4" s="1"/>
  <c r="M36" i="4" s="1"/>
  <c r="N38" i="4"/>
  <c r="W125" i="3"/>
  <c r="O31" i="13"/>
  <c r="O32" i="13" s="1"/>
  <c r="O34" i="13" s="1"/>
  <c r="O42" i="13" s="1"/>
  <c r="M33" i="9"/>
  <c r="I46" i="8"/>
  <c r="O46" i="8"/>
  <c r="O120" i="10" s="1"/>
  <c r="O56" i="22" s="1"/>
  <c r="K55" i="8"/>
  <c r="M46" i="8"/>
  <c r="K24" i="13"/>
  <c r="K25" i="13"/>
  <c r="Q7" i="4"/>
  <c r="P15" i="4"/>
  <c r="P17" i="4" s="1"/>
  <c r="P18" i="4" s="1"/>
  <c r="P16" i="4"/>
  <c r="P24" i="4"/>
  <c r="P56" i="4"/>
  <c r="P20" i="4"/>
  <c r="P25" i="4"/>
  <c r="Q25" i="4" s="1"/>
  <c r="R25" i="4" s="1"/>
  <c r="S25" i="4" s="1"/>
  <c r="T25" i="4" s="1"/>
  <c r="U25" i="4" s="1"/>
  <c r="V25" i="4" s="1"/>
  <c r="W25" i="4" s="1"/>
  <c r="X25" i="4" s="1"/>
  <c r="Y25" i="4" s="1"/>
  <c r="Z25" i="4" s="1"/>
  <c r="AA25" i="4" s="1"/>
  <c r="AB25" i="4" s="1"/>
  <c r="AB41" i="4" s="1"/>
  <c r="P44" i="4"/>
  <c r="H72" i="4"/>
  <c r="H74" i="4" s="1"/>
  <c r="Q7" i="18"/>
  <c r="P16" i="18"/>
  <c r="P15" i="18"/>
  <c r="P57" i="18"/>
  <c r="P30" i="18"/>
  <c r="I76" i="18"/>
  <c r="I78" i="18" s="1"/>
  <c r="P15" i="9"/>
  <c r="H76" i="9"/>
  <c r="H78" i="9" s="1"/>
  <c r="P78" i="9"/>
  <c r="Q79" i="9" s="1"/>
  <c r="R80" i="9" s="1"/>
  <c r="S81" i="9" s="1"/>
  <c r="T82" i="9" s="1"/>
  <c r="U83" i="9" s="1"/>
  <c r="V84" i="9" s="1"/>
  <c r="W85" i="9" s="1"/>
  <c r="X86" i="9" s="1"/>
  <c r="Y87" i="9" s="1"/>
  <c r="Z88" i="9" s="1"/>
  <c r="AA89" i="9" s="1"/>
  <c r="AB90" i="9" s="1"/>
  <c r="AC91" i="9" s="1"/>
  <c r="AD92" i="9" s="1"/>
  <c r="AE93" i="9" s="1"/>
  <c r="AF94" i="9" s="1"/>
  <c r="AG95" i="9" s="1"/>
  <c r="AH96" i="9" s="1"/>
  <c r="AI97" i="9" s="1"/>
  <c r="AJ98" i="9" s="1"/>
  <c r="AK99" i="9" s="1"/>
  <c r="AL100" i="9" s="1"/>
  <c r="Q7" i="9"/>
  <c r="P16" i="9"/>
  <c r="P30" i="9"/>
  <c r="P57" i="9"/>
  <c r="P82" i="22"/>
  <c r="P68" i="22"/>
  <c r="I95" i="22"/>
  <c r="I102" i="22" s="1"/>
  <c r="I182" i="10" s="1"/>
  <c r="L46" i="9"/>
  <c r="L31" i="9"/>
  <c r="L123" i="10"/>
  <c r="Q42" i="8"/>
  <c r="P46" i="8"/>
  <c r="P120" i="10" s="1"/>
  <c r="P56" i="22" s="1"/>
  <c r="P70" i="22" s="1"/>
  <c r="P77" i="22" s="1"/>
  <c r="P171" i="10" s="1"/>
  <c r="M46" i="18"/>
  <c r="I46" i="18"/>
  <c r="O46" i="18"/>
  <c r="O121" i="10" s="1"/>
  <c r="O57" i="22" s="1"/>
  <c r="K55" i="18"/>
  <c r="P42" i="18"/>
  <c r="Q6" i="11"/>
  <c r="Q43" i="22"/>
  <c r="R115" i="10"/>
  <c r="Q161" i="10"/>
  <c r="Q148" i="10"/>
  <c r="Q167" i="10" s="1"/>
  <c r="Q7" i="8"/>
  <c r="P15" i="8"/>
  <c r="P16" i="8"/>
  <c r="P30" i="8"/>
  <c r="I76" i="8"/>
  <c r="I78" i="8" s="1"/>
  <c r="P57" i="8"/>
  <c r="P78" i="8"/>
  <c r="Q79" i="8" s="1"/>
  <c r="R80" i="8" s="1"/>
  <c r="S81" i="8" s="1"/>
  <c r="T82" i="8" s="1"/>
  <c r="U83" i="8" s="1"/>
  <c r="V84" i="8" s="1"/>
  <c r="W85" i="8" s="1"/>
  <c r="X86" i="8" s="1"/>
  <c r="Y87" i="8" s="1"/>
  <c r="Z88" i="8" s="1"/>
  <c r="AA89" i="8" s="1"/>
  <c r="AB90" i="8" s="1"/>
  <c r="AC91" i="8" s="1"/>
  <c r="AD92" i="8" s="1"/>
  <c r="AE93" i="8" s="1"/>
  <c r="AF94" i="8" s="1"/>
  <c r="AG95" i="8" s="1"/>
  <c r="AH96" i="8" s="1"/>
  <c r="AI97" i="8" s="1"/>
  <c r="AJ98" i="8" s="1"/>
  <c r="AK99" i="8" s="1"/>
  <c r="AL100" i="8" s="1"/>
  <c r="Q7" i="13"/>
  <c r="P15" i="13"/>
  <c r="P17" i="13" s="1"/>
  <c r="P30" i="13"/>
  <c r="P57" i="13"/>
  <c r="H76" i="13"/>
  <c r="H78" i="13" s="1"/>
  <c r="P78" i="13"/>
  <c r="Q79" i="13" s="1"/>
  <c r="R80" i="13" s="1"/>
  <c r="S81" i="13" s="1"/>
  <c r="T82" i="13" s="1"/>
  <c r="U83" i="13" s="1"/>
  <c r="V84" i="13" s="1"/>
  <c r="W85" i="13" s="1"/>
  <c r="X86" i="13" s="1"/>
  <c r="Y87" i="13" s="1"/>
  <c r="Z88" i="13" s="1"/>
  <c r="AA89" i="13" s="1"/>
  <c r="AB90" i="13" s="1"/>
  <c r="AC91" i="13" s="1"/>
  <c r="AD92" i="13" s="1"/>
  <c r="AE93" i="13" s="1"/>
  <c r="AF94" i="13" s="1"/>
  <c r="AG95" i="13" s="1"/>
  <c r="AH96" i="13" s="1"/>
  <c r="AI97" i="13" s="1"/>
  <c r="AJ98" i="13" s="1"/>
  <c r="AK99" i="13" s="1"/>
  <c r="AL100" i="13" s="1"/>
  <c r="P16" i="13"/>
  <c r="I8" i="11"/>
  <c r="I9" i="11"/>
  <c r="I10" i="11"/>
  <c r="K7" i="11"/>
  <c r="K128" i="10"/>
  <c r="M7" i="11"/>
  <c r="M128" i="10"/>
  <c r="N24" i="9"/>
  <c r="N27" i="9" s="1"/>
  <c r="N42" i="9" s="1"/>
  <c r="M27" i="9"/>
  <c r="I84" i="22"/>
  <c r="I92" i="22"/>
  <c r="I170" i="10"/>
  <c r="J54" i="22"/>
  <c r="J69" i="22"/>
  <c r="J76" i="22" s="1"/>
  <c r="J85" i="22"/>
  <c r="K84" i="22"/>
  <c r="K92" i="22"/>
  <c r="K170" i="10"/>
  <c r="L92" i="22"/>
  <c r="L170" i="10"/>
  <c r="M84" i="22"/>
  <c r="M92" i="22"/>
  <c r="M170" i="10"/>
  <c r="N92" i="22"/>
  <c r="N170" i="10"/>
  <c r="J70" i="22"/>
  <c r="J77" i="22" s="1"/>
  <c r="J171" i="10" s="1"/>
  <c r="J86" i="22"/>
  <c r="J93" i="22" s="1"/>
  <c r="J100" i="22" s="1"/>
  <c r="J180" i="10" s="1"/>
  <c r="M99" i="3"/>
  <c r="M171" i="10"/>
  <c r="J71" i="22"/>
  <c r="J78" i="22" s="1"/>
  <c r="J172" i="10" s="1"/>
  <c r="J87" i="22"/>
  <c r="J94" i="22" s="1"/>
  <c r="J101" i="22" s="1"/>
  <c r="J181" i="10" s="1"/>
  <c r="J72" i="22"/>
  <c r="J79" i="22" s="1"/>
  <c r="J173" i="10" s="1"/>
  <c r="J88" i="22"/>
  <c r="J73" i="22"/>
  <c r="J89" i="22"/>
  <c r="J96" i="22" s="1"/>
  <c r="O41" i="4"/>
  <c r="Q41" i="4"/>
  <c r="S41" i="4"/>
  <c r="U41" i="4"/>
  <c r="W41" i="4"/>
  <c r="Y41" i="4"/>
  <c r="AA41" i="4"/>
  <c r="K53" i="4"/>
  <c r="G119" i="10"/>
  <c r="E62" i="22" s="1"/>
  <c r="H119" i="10"/>
  <c r="G120" i="10"/>
  <c r="E63" i="22" s="1"/>
  <c r="H120" i="10"/>
  <c r="G121" i="10"/>
  <c r="E64" i="22" s="1"/>
  <c r="H121" i="10"/>
  <c r="G122" i="10"/>
  <c r="E65" i="22" s="1"/>
  <c r="H122" i="10"/>
  <c r="G123" i="10"/>
  <c r="E66" i="22" s="1"/>
  <c r="H123" i="10"/>
  <c r="L217" i="3"/>
  <c r="Q57" i="8" l="1"/>
  <c r="Q78" i="8"/>
  <c r="R79" i="8" s="1"/>
  <c r="S80" i="8" s="1"/>
  <c r="T81" i="8" s="1"/>
  <c r="U82" i="8" s="1"/>
  <c r="V83" i="8" s="1"/>
  <c r="W84" i="8" s="1"/>
  <c r="X85" i="8" s="1"/>
  <c r="Y86" i="8" s="1"/>
  <c r="Z87" i="8" s="1"/>
  <c r="AA88" i="8" s="1"/>
  <c r="AB89" i="8" s="1"/>
  <c r="AC90" i="8" s="1"/>
  <c r="AD91" i="8" s="1"/>
  <c r="AE92" i="8" s="1"/>
  <c r="AF93" i="8" s="1"/>
  <c r="AG94" i="8" s="1"/>
  <c r="AH95" i="8" s="1"/>
  <c r="AI96" i="8" s="1"/>
  <c r="AJ97" i="8" s="1"/>
  <c r="AK98" i="8" s="1"/>
  <c r="AL99" i="8" s="1"/>
  <c r="Q16" i="8"/>
  <c r="R7" i="8"/>
  <c r="Q15" i="8"/>
  <c r="Q30" i="8"/>
  <c r="Q68" i="22"/>
  <c r="Q82" i="22"/>
  <c r="O87" i="22"/>
  <c r="O94" i="22" s="1"/>
  <c r="O101" i="22" s="1"/>
  <c r="O181" i="10" s="1"/>
  <c r="O71" i="22"/>
  <c r="O78" i="22" s="1"/>
  <c r="O172" i="10" s="1"/>
  <c r="R42" i="8"/>
  <c r="Q46" i="8"/>
  <c r="Q120" i="10" s="1"/>
  <c r="Q56" i="22" s="1"/>
  <c r="Q70" i="22" s="1"/>
  <c r="Q77" i="22" s="1"/>
  <c r="Q171" i="10" s="1"/>
  <c r="P19" i="4"/>
  <c r="P126" i="10"/>
  <c r="K55" i="13"/>
  <c r="M46" i="13"/>
  <c r="N46" i="13"/>
  <c r="N122" i="10" s="1"/>
  <c r="N58" i="22" s="1"/>
  <c r="M72" i="22"/>
  <c r="M79" i="22" s="1"/>
  <c r="M173" i="10" s="1"/>
  <c r="L72" i="22"/>
  <c r="L79" i="22" s="1"/>
  <c r="L173" i="10" s="1"/>
  <c r="K72" i="22"/>
  <c r="K79" i="22" s="1"/>
  <c r="K173" i="10" s="1"/>
  <c r="I72" i="22"/>
  <c r="I79" i="22" s="1"/>
  <c r="I173" i="10" s="1"/>
  <c r="O70" i="22"/>
  <c r="O77" i="22" s="1"/>
  <c r="O171" i="10" s="1"/>
  <c r="O86" i="22"/>
  <c r="O93" i="22" s="1"/>
  <c r="O100" i="22" s="1"/>
  <c r="O180" i="10" s="1"/>
  <c r="Z41" i="4"/>
  <c r="X41" i="4"/>
  <c r="V41" i="4"/>
  <c r="T41" i="4"/>
  <c r="R41" i="4"/>
  <c r="P41" i="4"/>
  <c r="J95" i="22"/>
  <c r="J102" i="22" s="1"/>
  <c r="J182" i="10" s="1"/>
  <c r="H79" i="13"/>
  <c r="H102" i="13"/>
  <c r="R7" i="13"/>
  <c r="Q15" i="13"/>
  <c r="Q16" i="13"/>
  <c r="Q30" i="13"/>
  <c r="Q57" i="13"/>
  <c r="Q78" i="13"/>
  <c r="R79" i="13" s="1"/>
  <c r="S80" i="13" s="1"/>
  <c r="T81" i="13" s="1"/>
  <c r="U82" i="13" s="1"/>
  <c r="V83" i="13" s="1"/>
  <c r="W84" i="13" s="1"/>
  <c r="X85" i="13" s="1"/>
  <c r="Y86" i="13" s="1"/>
  <c r="Z87" i="13" s="1"/>
  <c r="AA88" i="13" s="1"/>
  <c r="AB89" i="13" s="1"/>
  <c r="AC90" i="13" s="1"/>
  <c r="AD91" i="13" s="1"/>
  <c r="AE92" i="13" s="1"/>
  <c r="AF93" i="13" s="1"/>
  <c r="AG94" i="13" s="1"/>
  <c r="AH95" i="13" s="1"/>
  <c r="AI96" i="13" s="1"/>
  <c r="AJ97" i="13" s="1"/>
  <c r="AK98" i="13" s="1"/>
  <c r="AL99" i="13" s="1"/>
  <c r="P17" i="8"/>
  <c r="K9" i="15"/>
  <c r="R43" i="22"/>
  <c r="R6" i="11"/>
  <c r="S115" i="10"/>
  <c r="R148" i="10"/>
  <c r="R167" i="10" s="1"/>
  <c r="R161" i="10"/>
  <c r="L55" i="18"/>
  <c r="N55" i="18"/>
  <c r="N50" i="18" s="1"/>
  <c r="G139" i="18"/>
  <c r="M55" i="18"/>
  <c r="M50" i="18" s="1"/>
  <c r="O55" i="18"/>
  <c r="O50" i="18" s="1"/>
  <c r="L59" i="22"/>
  <c r="L118" i="10"/>
  <c r="R7" i="9"/>
  <c r="Q15" i="9"/>
  <c r="Q16" i="9"/>
  <c r="Q30" i="9"/>
  <c r="Q57" i="9"/>
  <c r="Q78" i="9"/>
  <c r="R79" i="9" s="1"/>
  <c r="S80" i="9" s="1"/>
  <c r="T81" i="9" s="1"/>
  <c r="U82" i="9" s="1"/>
  <c r="V83" i="9" s="1"/>
  <c r="W84" i="9" s="1"/>
  <c r="X85" i="9" s="1"/>
  <c r="Y86" i="9" s="1"/>
  <c r="Z87" i="9" s="1"/>
  <c r="AA88" i="9" s="1"/>
  <c r="AB89" i="9" s="1"/>
  <c r="AC90" i="9" s="1"/>
  <c r="AD91" i="9" s="1"/>
  <c r="AE92" i="9" s="1"/>
  <c r="AF93" i="9" s="1"/>
  <c r="AG94" i="9" s="1"/>
  <c r="AH95" i="9" s="1"/>
  <c r="AI96" i="9" s="1"/>
  <c r="AJ97" i="9" s="1"/>
  <c r="AK98" i="9" s="1"/>
  <c r="AL99" i="9" s="1"/>
  <c r="H79" i="9"/>
  <c r="H102" i="9"/>
  <c r="I102" i="18"/>
  <c r="I79" i="18"/>
  <c r="P78" i="18"/>
  <c r="Q79" i="18" s="1"/>
  <c r="R80" i="18" s="1"/>
  <c r="S81" i="18" s="1"/>
  <c r="T82" i="18" s="1"/>
  <c r="U83" i="18" s="1"/>
  <c r="V84" i="18" s="1"/>
  <c r="W85" i="18" s="1"/>
  <c r="X86" i="18" s="1"/>
  <c r="Y87" i="18" s="1"/>
  <c r="Z88" i="18" s="1"/>
  <c r="AA89" i="18" s="1"/>
  <c r="AB90" i="18" s="1"/>
  <c r="AC91" i="18" s="1"/>
  <c r="AD92" i="18" s="1"/>
  <c r="AE93" i="18" s="1"/>
  <c r="AF94" i="18" s="1"/>
  <c r="AG95" i="18" s="1"/>
  <c r="AH96" i="18" s="1"/>
  <c r="AI97" i="18" s="1"/>
  <c r="AJ98" i="18" s="1"/>
  <c r="AK99" i="18" s="1"/>
  <c r="AL100" i="18" s="1"/>
  <c r="P17" i="18"/>
  <c r="R7" i="18"/>
  <c r="Q15" i="18"/>
  <c r="Q17" i="18" s="1"/>
  <c r="Q16" i="18"/>
  <c r="Q30" i="18"/>
  <c r="Q57" i="18"/>
  <c r="Q78" i="18"/>
  <c r="R79" i="18" s="1"/>
  <c r="S80" i="18" s="1"/>
  <c r="T81" i="18" s="1"/>
  <c r="U82" i="18" s="1"/>
  <c r="V83" i="18" s="1"/>
  <c r="W84" i="18" s="1"/>
  <c r="X85" i="18" s="1"/>
  <c r="Y86" i="18" s="1"/>
  <c r="Z87" i="18" s="1"/>
  <c r="AA88" i="18" s="1"/>
  <c r="AB89" i="18" s="1"/>
  <c r="AC90" i="18" s="1"/>
  <c r="AD91" i="18" s="1"/>
  <c r="AE92" i="18" s="1"/>
  <c r="AF93" i="18" s="1"/>
  <c r="AG94" i="18" s="1"/>
  <c r="AH95" i="18" s="1"/>
  <c r="AI96" i="18" s="1"/>
  <c r="AJ97" i="18" s="1"/>
  <c r="AK98" i="18" s="1"/>
  <c r="AL99" i="18" s="1"/>
  <c r="R7" i="4"/>
  <c r="Q15" i="4"/>
  <c r="Q17" i="4" s="1"/>
  <c r="Q18" i="4" s="1"/>
  <c r="Q16" i="4"/>
  <c r="Q20" i="4"/>
  <c r="Q56" i="4"/>
  <c r="Q74" i="4"/>
  <c r="R75" i="4" s="1"/>
  <c r="S76" i="4" s="1"/>
  <c r="T77" i="4" s="1"/>
  <c r="U78" i="4" s="1"/>
  <c r="V79" i="4" s="1"/>
  <c r="W80" i="4" s="1"/>
  <c r="X81" i="4" s="1"/>
  <c r="Y82" i="4" s="1"/>
  <c r="Z83" i="4" s="1"/>
  <c r="AA84" i="4" s="1"/>
  <c r="AB85" i="4" s="1"/>
  <c r="AC86" i="4" s="1"/>
  <c r="AD87" i="4" s="1"/>
  <c r="AE88" i="4" s="1"/>
  <c r="AF89" i="4" s="1"/>
  <c r="AG90" i="4" s="1"/>
  <c r="AH91" i="4" s="1"/>
  <c r="AI92" i="4" s="1"/>
  <c r="AJ93" i="4" s="1"/>
  <c r="AK94" i="4" s="1"/>
  <c r="AL95" i="4" s="1"/>
  <c r="Q24" i="4"/>
  <c r="L55" i="8"/>
  <c r="N55" i="8"/>
  <c r="N50" i="8" s="1"/>
  <c r="G139" i="8"/>
  <c r="O55" i="8"/>
  <c r="O50" i="8" s="1"/>
  <c r="M55" i="8"/>
  <c r="M50" i="8" s="1"/>
  <c r="P42" i="13"/>
  <c r="O46" i="13"/>
  <c r="O122" i="10" s="1"/>
  <c r="O58" i="22" s="1"/>
  <c r="O38" i="4"/>
  <c r="O43" i="4" s="1"/>
  <c r="O119" i="10" s="1"/>
  <c r="O55" i="22" s="1"/>
  <c r="N49" i="4"/>
  <c r="M95" i="22"/>
  <c r="M102" i="22" s="1"/>
  <c r="M182" i="10" s="1"/>
  <c r="K95" i="22"/>
  <c r="K102" i="22" s="1"/>
  <c r="K182" i="10" s="1"/>
  <c r="P18" i="13"/>
  <c r="P19" i="13" s="1"/>
  <c r="P28" i="13"/>
  <c r="I79" i="8"/>
  <c r="I102" i="8"/>
  <c r="Q42" i="18"/>
  <c r="P46" i="18"/>
  <c r="P121" i="10" s="1"/>
  <c r="P57" i="22" s="1"/>
  <c r="P71" i="22" s="1"/>
  <c r="P78" i="22" s="1"/>
  <c r="P172" i="10" s="1"/>
  <c r="P17" i="9"/>
  <c r="H98" i="4"/>
  <c r="H75" i="4"/>
  <c r="AC25" i="4"/>
  <c r="G132" i="4"/>
  <c r="P74" i="4"/>
  <c r="Q75" i="4" s="1"/>
  <c r="R76" i="4" s="1"/>
  <c r="S77" i="4" s="1"/>
  <c r="T78" i="4" s="1"/>
  <c r="U79" i="4" s="1"/>
  <c r="V80" i="4" s="1"/>
  <c r="W81" i="4" s="1"/>
  <c r="X82" i="4" s="1"/>
  <c r="Y83" i="4" s="1"/>
  <c r="Z84" i="4" s="1"/>
  <c r="AA85" i="4" s="1"/>
  <c r="AB86" i="4" s="1"/>
  <c r="AC87" i="4" s="1"/>
  <c r="AD88" i="4" s="1"/>
  <c r="AE89" i="4" s="1"/>
  <c r="AF90" i="4" s="1"/>
  <c r="AG91" i="4" s="1"/>
  <c r="AH92" i="4" s="1"/>
  <c r="AI93" i="4" s="1"/>
  <c r="AJ94" i="4" s="1"/>
  <c r="AK95" i="4" s="1"/>
  <c r="AL96" i="4" s="1"/>
  <c r="L95" i="22"/>
  <c r="L102" i="22" s="1"/>
  <c r="L182" i="10" s="1"/>
  <c r="F66" i="22"/>
  <c r="C52" i="10"/>
  <c r="F65" i="22"/>
  <c r="C49" i="10"/>
  <c r="F64" i="22"/>
  <c r="C46" i="10"/>
  <c r="F63" i="22"/>
  <c r="C43" i="10"/>
  <c r="F62" i="22"/>
  <c r="C41" i="10"/>
  <c r="N99" i="22"/>
  <c r="M91" i="22"/>
  <c r="M99" i="22"/>
  <c r="L99" i="22"/>
  <c r="K91" i="22"/>
  <c r="K99" i="22"/>
  <c r="J84" i="22"/>
  <c r="J92" i="22"/>
  <c r="J170" i="10"/>
  <c r="I91" i="22"/>
  <c r="I99" i="22"/>
  <c r="M32" i="9"/>
  <c r="M42" i="9"/>
  <c r="M45" i="9" s="1"/>
  <c r="N46" i="9" s="1"/>
  <c r="O42" i="9"/>
  <c r="M10" i="11"/>
  <c r="M146" i="10"/>
  <c r="M8" i="11"/>
  <c r="M9" i="11"/>
  <c r="K10" i="11"/>
  <c r="K146" i="10"/>
  <c r="K8" i="11"/>
  <c r="K9" i="11"/>
  <c r="J9" i="11" s="1"/>
  <c r="X9" i="11"/>
  <c r="J10" i="11"/>
  <c r="J8" i="11"/>
  <c r="J7" i="11"/>
  <c r="AD25" i="4" l="1"/>
  <c r="AC41" i="4"/>
  <c r="P50" i="13"/>
  <c r="P51" i="13" s="1"/>
  <c r="O72" i="22"/>
  <c r="O79" i="22" s="1"/>
  <c r="O173" i="10" s="1"/>
  <c r="O88" i="22"/>
  <c r="O95" i="22" s="1"/>
  <c r="O102" i="22" s="1"/>
  <c r="O182" i="10" s="1"/>
  <c r="S7" i="4"/>
  <c r="R15" i="4"/>
  <c r="R17" i="4" s="1"/>
  <c r="R18" i="4" s="1"/>
  <c r="R16" i="4"/>
  <c r="R24" i="4"/>
  <c r="R20" i="4"/>
  <c r="R56" i="4"/>
  <c r="R74" i="4"/>
  <c r="S75" i="4" s="1"/>
  <c r="T76" i="4" s="1"/>
  <c r="U77" i="4" s="1"/>
  <c r="V78" i="4" s="1"/>
  <c r="W79" i="4" s="1"/>
  <c r="X80" i="4" s="1"/>
  <c r="Y81" i="4" s="1"/>
  <c r="Z82" i="4" s="1"/>
  <c r="AA83" i="4" s="1"/>
  <c r="AB84" i="4" s="1"/>
  <c r="AC85" i="4" s="1"/>
  <c r="AD86" i="4" s="1"/>
  <c r="AE87" i="4" s="1"/>
  <c r="AF88" i="4" s="1"/>
  <c r="AG89" i="4" s="1"/>
  <c r="AH90" i="4" s="1"/>
  <c r="AI91" i="4" s="1"/>
  <c r="AJ92" i="4" s="1"/>
  <c r="AK93" i="4" s="1"/>
  <c r="AL94" i="4" s="1"/>
  <c r="R15" i="18"/>
  <c r="R30" i="18"/>
  <c r="R16" i="18"/>
  <c r="S7" i="18"/>
  <c r="R57" i="18"/>
  <c r="R78" i="18"/>
  <c r="S79" i="18" s="1"/>
  <c r="T80" i="18" s="1"/>
  <c r="U81" i="18" s="1"/>
  <c r="V82" i="18" s="1"/>
  <c r="W83" i="18" s="1"/>
  <c r="X84" i="18" s="1"/>
  <c r="Y85" i="18" s="1"/>
  <c r="Z86" i="18" s="1"/>
  <c r="AA87" i="18" s="1"/>
  <c r="AB88" i="18" s="1"/>
  <c r="AC89" i="18" s="1"/>
  <c r="AD90" i="18" s="1"/>
  <c r="AE91" i="18" s="1"/>
  <c r="AF92" i="18" s="1"/>
  <c r="AG93" i="18" s="1"/>
  <c r="AH94" i="18" s="1"/>
  <c r="AI95" i="18" s="1"/>
  <c r="AJ96" i="18" s="1"/>
  <c r="AK97" i="18" s="1"/>
  <c r="AL98" i="18" s="1"/>
  <c r="H80" i="9"/>
  <c r="H103" i="9"/>
  <c r="S7" i="9"/>
  <c r="R16" i="9"/>
  <c r="R78" i="9"/>
  <c r="S79" i="9" s="1"/>
  <c r="T80" i="9" s="1"/>
  <c r="U81" i="9" s="1"/>
  <c r="V82" i="9" s="1"/>
  <c r="W83" i="9" s="1"/>
  <c r="X84" i="9" s="1"/>
  <c r="Y85" i="9" s="1"/>
  <c r="Z86" i="9" s="1"/>
  <c r="AA87" i="9" s="1"/>
  <c r="AB88" i="9" s="1"/>
  <c r="AC89" i="9" s="1"/>
  <c r="AD90" i="9" s="1"/>
  <c r="AE91" i="9" s="1"/>
  <c r="AF92" i="9" s="1"/>
  <c r="AG93" i="9" s="1"/>
  <c r="AH94" i="9" s="1"/>
  <c r="AI95" i="9" s="1"/>
  <c r="AJ96" i="9" s="1"/>
  <c r="AK97" i="9" s="1"/>
  <c r="AL98" i="9" s="1"/>
  <c r="R15" i="9"/>
  <c r="R30" i="9"/>
  <c r="R57" i="9"/>
  <c r="L89" i="22"/>
  <c r="L73" i="22"/>
  <c r="L54" i="22"/>
  <c r="Q17" i="13"/>
  <c r="S7" i="8"/>
  <c r="R15" i="8"/>
  <c r="R17" i="8" s="1"/>
  <c r="R16" i="8"/>
  <c r="R30" i="8"/>
  <c r="R57" i="8"/>
  <c r="R78" i="8"/>
  <c r="S79" i="8" s="1"/>
  <c r="T80" i="8" s="1"/>
  <c r="U81" i="8" s="1"/>
  <c r="V82" i="8" s="1"/>
  <c r="W83" i="8" s="1"/>
  <c r="X84" i="8" s="1"/>
  <c r="Y85" i="8" s="1"/>
  <c r="Z86" i="8" s="1"/>
  <c r="AA87" i="8" s="1"/>
  <c r="AB88" i="8" s="1"/>
  <c r="AC89" i="8" s="1"/>
  <c r="AD90" i="8" s="1"/>
  <c r="AE91" i="8" s="1"/>
  <c r="AF92" i="8" s="1"/>
  <c r="AG93" i="8" s="1"/>
  <c r="AH94" i="8" s="1"/>
  <c r="AI95" i="8" s="1"/>
  <c r="AJ96" i="8" s="1"/>
  <c r="AK97" i="8" s="1"/>
  <c r="AL98" i="8" s="1"/>
  <c r="H76" i="4"/>
  <c r="H99" i="4"/>
  <c r="P18" i="9"/>
  <c r="P19" i="9" s="1"/>
  <c r="P28" i="9"/>
  <c r="Q46" i="18"/>
  <c r="Q121" i="10" s="1"/>
  <c r="Q57" i="22" s="1"/>
  <c r="Q71" i="22" s="1"/>
  <c r="Q78" i="22" s="1"/>
  <c r="Q172" i="10" s="1"/>
  <c r="R42" i="18"/>
  <c r="I80" i="8"/>
  <c r="I103" i="8"/>
  <c r="P38" i="4"/>
  <c r="O49" i="4"/>
  <c r="Q42" i="13"/>
  <c r="P46" i="13"/>
  <c r="P122" i="10" s="1"/>
  <c r="P58" i="22" s="1"/>
  <c r="P72" i="22" s="1"/>
  <c r="P79" i="22" s="1"/>
  <c r="P173" i="10" s="1"/>
  <c r="Q126" i="10"/>
  <c r="Q19" i="4"/>
  <c r="Q18" i="18"/>
  <c r="Q28" i="18"/>
  <c r="P18" i="18"/>
  <c r="P28" i="18"/>
  <c r="I80" i="18"/>
  <c r="I103" i="18"/>
  <c r="Q17" i="9"/>
  <c r="L7" i="11"/>
  <c r="L128" i="10"/>
  <c r="L9" i="15"/>
  <c r="S43" i="22"/>
  <c r="S6" i="11"/>
  <c r="S148" i="10"/>
  <c r="S167" i="10" s="1"/>
  <c r="S161" i="10"/>
  <c r="T115" i="10"/>
  <c r="R68" i="22"/>
  <c r="R82" i="22"/>
  <c r="P18" i="8"/>
  <c r="P28" i="8"/>
  <c r="S7" i="13"/>
  <c r="R16" i="13"/>
  <c r="R57" i="13"/>
  <c r="R78" i="13"/>
  <c r="S79" i="13" s="1"/>
  <c r="T80" i="13" s="1"/>
  <c r="U81" i="13" s="1"/>
  <c r="V82" i="13" s="1"/>
  <c r="W83" i="13" s="1"/>
  <c r="X84" i="13" s="1"/>
  <c r="Y85" i="13" s="1"/>
  <c r="Z86" i="13" s="1"/>
  <c r="AA87" i="13" s="1"/>
  <c r="AB88" i="13" s="1"/>
  <c r="AC89" i="13" s="1"/>
  <c r="AD90" i="13" s="1"/>
  <c r="AE91" i="13" s="1"/>
  <c r="AF92" i="13" s="1"/>
  <c r="AG93" i="13" s="1"/>
  <c r="AH94" i="13" s="1"/>
  <c r="AI95" i="13" s="1"/>
  <c r="AJ96" i="13" s="1"/>
  <c r="AK97" i="13" s="1"/>
  <c r="AL98" i="13" s="1"/>
  <c r="R15" i="13"/>
  <c r="R17" i="13" s="1"/>
  <c r="R30" i="13"/>
  <c r="H80" i="13"/>
  <c r="H103" i="13"/>
  <c r="P43" i="4"/>
  <c r="P119" i="10" s="1"/>
  <c r="P55" i="22" s="1"/>
  <c r="N72" i="22"/>
  <c r="N79" i="22" s="1"/>
  <c r="N173" i="10" s="1"/>
  <c r="N88" i="22"/>
  <c r="N95" i="22" s="1"/>
  <c r="N102" i="22" s="1"/>
  <c r="N182" i="10" s="1"/>
  <c r="P55" i="13"/>
  <c r="G139" i="13"/>
  <c r="S42" i="8"/>
  <c r="R46" i="8"/>
  <c r="R120" i="10" s="1"/>
  <c r="R56" i="22" s="1"/>
  <c r="R70" i="22" s="1"/>
  <c r="R77" i="22" s="1"/>
  <c r="R171" i="10" s="1"/>
  <c r="Q17" i="8"/>
  <c r="N158" i="9"/>
  <c r="N123" i="10"/>
  <c r="P42" i="9"/>
  <c r="O46" i="9"/>
  <c r="M34" i="9"/>
  <c r="K55" i="9"/>
  <c r="K158" i="9"/>
  <c r="L158" i="9"/>
  <c r="M158" i="9"/>
  <c r="I179" i="10"/>
  <c r="J91" i="22"/>
  <c r="J99" i="22"/>
  <c r="K179" i="10"/>
  <c r="L179" i="10"/>
  <c r="M179" i="10"/>
  <c r="N179" i="10"/>
  <c r="O69" i="22"/>
  <c r="O76" i="22" s="1"/>
  <c r="O85" i="22"/>
  <c r="P69" i="22"/>
  <c r="P76" i="22" s="1"/>
  <c r="Q18" i="8" l="1"/>
  <c r="Q28" i="8"/>
  <c r="S46" i="8"/>
  <c r="S120" i="10" s="1"/>
  <c r="S56" i="22" s="1"/>
  <c r="S70" i="22" s="1"/>
  <c r="S77" i="22" s="1"/>
  <c r="S171" i="10" s="1"/>
  <c r="T42" i="8"/>
  <c r="M9" i="15"/>
  <c r="T43" i="22"/>
  <c r="T6" i="11"/>
  <c r="U115" i="10"/>
  <c r="T148" i="10"/>
  <c r="T167" i="10" s="1"/>
  <c r="T161" i="10"/>
  <c r="S68" i="22"/>
  <c r="S82" i="22"/>
  <c r="L10" i="11"/>
  <c r="L146" i="10"/>
  <c r="Q18" i="9"/>
  <c r="Q19" i="9" s="1"/>
  <c r="Q28" i="9"/>
  <c r="I81" i="18"/>
  <c r="I104" i="18"/>
  <c r="P19" i="18"/>
  <c r="P55" i="18"/>
  <c r="Q19" i="18"/>
  <c r="Q55" i="18"/>
  <c r="R42" i="13"/>
  <c r="Q46" i="13"/>
  <c r="Q122" i="10" s="1"/>
  <c r="Q58" i="22" s="1"/>
  <c r="Q72" i="22" s="1"/>
  <c r="Q79" i="22" s="1"/>
  <c r="Q173" i="10" s="1"/>
  <c r="Q38" i="4"/>
  <c r="P49" i="4"/>
  <c r="P52" i="4" s="1"/>
  <c r="P54" i="4" s="1"/>
  <c r="P21" i="4" s="1"/>
  <c r="P66" i="4" s="1"/>
  <c r="I81" i="8"/>
  <c r="I104" i="8"/>
  <c r="H77" i="4"/>
  <c r="H100" i="4"/>
  <c r="S57" i="8"/>
  <c r="S78" i="8"/>
  <c r="T79" i="8" s="1"/>
  <c r="U80" i="8" s="1"/>
  <c r="V81" i="8" s="1"/>
  <c r="W82" i="8" s="1"/>
  <c r="X83" i="8" s="1"/>
  <c r="Y84" i="8" s="1"/>
  <c r="Z85" i="8" s="1"/>
  <c r="AA86" i="8" s="1"/>
  <c r="AB87" i="8" s="1"/>
  <c r="AC88" i="8" s="1"/>
  <c r="AD89" i="8" s="1"/>
  <c r="AE90" i="8" s="1"/>
  <c r="AF91" i="8" s="1"/>
  <c r="AG92" i="8" s="1"/>
  <c r="AH93" i="8" s="1"/>
  <c r="AI94" i="8" s="1"/>
  <c r="AJ95" i="8" s="1"/>
  <c r="AK96" i="8" s="1"/>
  <c r="AL97" i="8" s="1"/>
  <c r="T7" i="8"/>
  <c r="S15" i="8"/>
  <c r="S30" i="8"/>
  <c r="S16" i="8"/>
  <c r="Q18" i="13"/>
  <c r="Q28" i="13"/>
  <c r="R17" i="9"/>
  <c r="T7" i="18"/>
  <c r="S15" i="18"/>
  <c r="S16" i="18"/>
  <c r="S30" i="18"/>
  <c r="S57" i="18"/>
  <c r="S78" i="18"/>
  <c r="T79" i="18" s="1"/>
  <c r="U80" i="18" s="1"/>
  <c r="V81" i="18" s="1"/>
  <c r="W82" i="18" s="1"/>
  <c r="X83" i="18" s="1"/>
  <c r="Y84" i="18" s="1"/>
  <c r="Z85" i="18" s="1"/>
  <c r="AA86" i="18" s="1"/>
  <c r="AB87" i="18" s="1"/>
  <c r="AC88" i="18" s="1"/>
  <c r="AD89" i="18" s="1"/>
  <c r="AE90" i="18" s="1"/>
  <c r="AF91" i="18" s="1"/>
  <c r="AG92" i="18" s="1"/>
  <c r="AH93" i="18" s="1"/>
  <c r="AI94" i="18" s="1"/>
  <c r="AJ95" i="18" s="1"/>
  <c r="AK96" i="18" s="1"/>
  <c r="AL97" i="18" s="1"/>
  <c r="T7" i="4"/>
  <c r="S15" i="4"/>
  <c r="S16" i="4"/>
  <c r="S20" i="4"/>
  <c r="S56" i="4"/>
  <c r="S74" i="4"/>
  <c r="T75" i="4" s="1"/>
  <c r="U76" i="4" s="1"/>
  <c r="V77" i="4" s="1"/>
  <c r="W78" i="4" s="1"/>
  <c r="X79" i="4" s="1"/>
  <c r="Y80" i="4" s="1"/>
  <c r="Z81" i="4" s="1"/>
  <c r="AA82" i="4" s="1"/>
  <c r="AB83" i="4" s="1"/>
  <c r="AC84" i="4" s="1"/>
  <c r="AD85" i="4" s="1"/>
  <c r="AE86" i="4" s="1"/>
  <c r="AF87" i="4" s="1"/>
  <c r="AG88" i="4" s="1"/>
  <c r="AH89" i="4" s="1"/>
  <c r="AI90" i="4" s="1"/>
  <c r="AJ91" i="4" s="1"/>
  <c r="AK92" i="4" s="1"/>
  <c r="AL93" i="4" s="1"/>
  <c r="S24" i="4"/>
  <c r="H104" i="13"/>
  <c r="H81" i="13"/>
  <c r="R18" i="13"/>
  <c r="R28" i="13"/>
  <c r="T7" i="13"/>
  <c r="S15" i="13"/>
  <c r="S16" i="13"/>
  <c r="S30" i="13"/>
  <c r="S78" i="13"/>
  <c r="T79" i="13" s="1"/>
  <c r="U80" i="13" s="1"/>
  <c r="V81" i="13" s="1"/>
  <c r="W82" i="13" s="1"/>
  <c r="X83" i="13" s="1"/>
  <c r="Y84" i="13" s="1"/>
  <c r="Z85" i="13" s="1"/>
  <c r="AA86" i="13" s="1"/>
  <c r="AB87" i="13" s="1"/>
  <c r="AC88" i="13" s="1"/>
  <c r="AD89" i="13" s="1"/>
  <c r="AE90" i="13" s="1"/>
  <c r="AF91" i="13" s="1"/>
  <c r="AG92" i="13" s="1"/>
  <c r="AH93" i="13" s="1"/>
  <c r="AI94" i="13" s="1"/>
  <c r="AJ95" i="13" s="1"/>
  <c r="AK96" i="13" s="1"/>
  <c r="AL97" i="13" s="1"/>
  <c r="S57" i="13"/>
  <c r="P19" i="8"/>
  <c r="P50" i="8" s="1"/>
  <c r="P51" i="8" s="1"/>
  <c r="P55" i="8"/>
  <c r="L8" i="11"/>
  <c r="L9" i="11"/>
  <c r="P50" i="18"/>
  <c r="P51" i="18" s="1"/>
  <c r="Q50" i="18"/>
  <c r="S42" i="18"/>
  <c r="R46" i="18"/>
  <c r="R121" i="10" s="1"/>
  <c r="R57" i="22" s="1"/>
  <c r="R71" i="22" s="1"/>
  <c r="R78" i="22" s="1"/>
  <c r="R172" i="10" s="1"/>
  <c r="R18" i="8"/>
  <c r="R28" i="8"/>
  <c r="L96" i="22"/>
  <c r="L91" i="22" s="1"/>
  <c r="L84" i="22"/>
  <c r="T7" i="9"/>
  <c r="S15" i="9"/>
  <c r="S16" i="9"/>
  <c r="S30" i="9"/>
  <c r="S57" i="9"/>
  <c r="S78" i="9"/>
  <c r="T79" i="9" s="1"/>
  <c r="U80" i="9" s="1"/>
  <c r="V81" i="9" s="1"/>
  <c r="W82" i="9" s="1"/>
  <c r="X83" i="9" s="1"/>
  <c r="Y84" i="9" s="1"/>
  <c r="Z85" i="9" s="1"/>
  <c r="AA86" i="9" s="1"/>
  <c r="AB87" i="9" s="1"/>
  <c r="AC88" i="9" s="1"/>
  <c r="AD89" i="9" s="1"/>
  <c r="AE90" i="9" s="1"/>
  <c r="AF91" i="9" s="1"/>
  <c r="AG92" i="9" s="1"/>
  <c r="AH93" i="9" s="1"/>
  <c r="AI94" i="9" s="1"/>
  <c r="AJ95" i="9" s="1"/>
  <c r="AK96" i="9" s="1"/>
  <c r="AL97" i="9" s="1"/>
  <c r="H81" i="9"/>
  <c r="H104" i="9"/>
  <c r="R17" i="18"/>
  <c r="R19" i="4"/>
  <c r="R126" i="10"/>
  <c r="P67" i="13"/>
  <c r="AE25" i="4"/>
  <c r="AD41" i="4"/>
  <c r="P170" i="10"/>
  <c r="O92" i="22"/>
  <c r="O170" i="10"/>
  <c r="J179" i="10"/>
  <c r="M55" i="9"/>
  <c r="P55" i="9"/>
  <c r="P50" i="9" s="1"/>
  <c r="P51" i="9" s="1"/>
  <c r="P67" i="9" s="1"/>
  <c r="Q55" i="9"/>
  <c r="Q50" i="9" s="1"/>
  <c r="Q51" i="9" s="1"/>
  <c r="G139" i="9"/>
  <c r="I103" i="22"/>
  <c r="I80" i="22"/>
  <c r="K103" i="22"/>
  <c r="K80" i="22"/>
  <c r="L103" i="22"/>
  <c r="L80" i="22"/>
  <c r="M103" i="22"/>
  <c r="M80" i="22"/>
  <c r="J103" i="22"/>
  <c r="J183" i="10" s="1"/>
  <c r="J80" i="22"/>
  <c r="O158" i="9"/>
  <c r="O123" i="10"/>
  <c r="Q42" i="9"/>
  <c r="P46" i="9"/>
  <c r="N59" i="22"/>
  <c r="N118" i="10"/>
  <c r="P67" i="8" l="1"/>
  <c r="Q67" i="9"/>
  <c r="AF25" i="4"/>
  <c r="AE41" i="4"/>
  <c r="P102" i="13"/>
  <c r="P126" i="13" s="1"/>
  <c r="P58" i="13" s="1"/>
  <c r="P59" i="13" s="1"/>
  <c r="P106" i="13"/>
  <c r="P114" i="13"/>
  <c r="P124" i="13"/>
  <c r="Q102" i="13"/>
  <c r="S102" i="13"/>
  <c r="P103" i="13"/>
  <c r="P105" i="13"/>
  <c r="P107" i="13"/>
  <c r="P109" i="13"/>
  <c r="P111" i="13"/>
  <c r="P113" i="13"/>
  <c r="P115" i="13"/>
  <c r="P117" i="13"/>
  <c r="P119" i="13"/>
  <c r="P121" i="13"/>
  <c r="P123" i="13"/>
  <c r="R102" i="13"/>
  <c r="P104" i="13"/>
  <c r="P108" i="13"/>
  <c r="P110" i="13"/>
  <c r="P112" i="13"/>
  <c r="P116" i="13"/>
  <c r="P118" i="13"/>
  <c r="P120" i="13"/>
  <c r="P122" i="13"/>
  <c r="S17" i="9"/>
  <c r="S17" i="13"/>
  <c r="H105" i="13"/>
  <c r="H82" i="13"/>
  <c r="S17" i="4"/>
  <c r="S18" i="4" s="1"/>
  <c r="S17" i="18"/>
  <c r="R18" i="9"/>
  <c r="R28" i="9"/>
  <c r="Q19" i="13"/>
  <c r="Q55" i="13"/>
  <c r="U7" i="8"/>
  <c r="T15" i="8"/>
  <c r="T17" i="8" s="1"/>
  <c r="T16" i="8"/>
  <c r="T30" i="8"/>
  <c r="T57" i="8"/>
  <c r="T78" i="8"/>
  <c r="U79" i="8" s="1"/>
  <c r="V80" i="8" s="1"/>
  <c r="W81" i="8" s="1"/>
  <c r="X82" i="8" s="1"/>
  <c r="Y83" i="8" s="1"/>
  <c r="Z84" i="8" s="1"/>
  <c r="AA85" i="8" s="1"/>
  <c r="AB86" i="8" s="1"/>
  <c r="AC87" i="8" s="1"/>
  <c r="AD88" i="8" s="1"/>
  <c r="AE89" i="8" s="1"/>
  <c r="AF90" i="8" s="1"/>
  <c r="AG91" i="8" s="1"/>
  <c r="AH92" i="8" s="1"/>
  <c r="AI93" i="8" s="1"/>
  <c r="AJ94" i="8" s="1"/>
  <c r="AK95" i="8" s="1"/>
  <c r="AL96" i="8" s="1"/>
  <c r="H78" i="4"/>
  <c r="H101" i="4"/>
  <c r="I82" i="8"/>
  <c r="I105" i="8"/>
  <c r="R38" i="4"/>
  <c r="Q49" i="4"/>
  <c r="Q52" i="4" s="1"/>
  <c r="Q54" i="4" s="1"/>
  <c r="Q21" i="4" s="1"/>
  <c r="Q66" i="4" s="1"/>
  <c r="Q43" i="4"/>
  <c r="Q119" i="10" s="1"/>
  <c r="Q55" i="22" s="1"/>
  <c r="Q69" i="22" s="1"/>
  <c r="Q76" i="22" s="1"/>
  <c r="Q170" i="10" s="1"/>
  <c r="S42" i="13"/>
  <c r="R46" i="13"/>
  <c r="R122" i="10" s="1"/>
  <c r="R58" i="22" s="1"/>
  <c r="R72" i="22" s="1"/>
  <c r="R79" i="22" s="1"/>
  <c r="R173" i="10" s="1"/>
  <c r="I82" i="18"/>
  <c r="I105" i="18"/>
  <c r="U42" i="8"/>
  <c r="T46" i="8"/>
  <c r="T120" i="10" s="1"/>
  <c r="T56" i="22" s="1"/>
  <c r="T70" i="22" s="1"/>
  <c r="T77" i="22" s="1"/>
  <c r="T171" i="10" s="1"/>
  <c r="R18" i="18"/>
  <c r="R28" i="18"/>
  <c r="H82" i="9"/>
  <c r="H105" i="9"/>
  <c r="T15" i="9"/>
  <c r="T78" i="9"/>
  <c r="U79" i="9" s="1"/>
  <c r="V80" i="9" s="1"/>
  <c r="W81" i="9" s="1"/>
  <c r="X82" i="9" s="1"/>
  <c r="Y83" i="9" s="1"/>
  <c r="Z84" i="9" s="1"/>
  <c r="AA85" i="9" s="1"/>
  <c r="AB86" i="9" s="1"/>
  <c r="AC87" i="9" s="1"/>
  <c r="AD88" i="9" s="1"/>
  <c r="AE89" i="9" s="1"/>
  <c r="AF90" i="9" s="1"/>
  <c r="AG91" i="9" s="1"/>
  <c r="AH92" i="9" s="1"/>
  <c r="AI93" i="9" s="1"/>
  <c r="AJ94" i="9" s="1"/>
  <c r="AK95" i="9" s="1"/>
  <c r="AL96" i="9" s="1"/>
  <c r="U7" i="9"/>
  <c r="T16" i="9"/>
  <c r="T30" i="9"/>
  <c r="T57" i="9"/>
  <c r="R19" i="8"/>
  <c r="R55" i="8"/>
  <c r="R50" i="8" s="1"/>
  <c r="T42" i="18"/>
  <c r="S46" i="18"/>
  <c r="S121" i="10" s="1"/>
  <c r="S57" i="22" s="1"/>
  <c r="S71" i="22" s="1"/>
  <c r="S78" i="22" s="1"/>
  <c r="S172" i="10" s="1"/>
  <c r="P67" i="18"/>
  <c r="Q51" i="18"/>
  <c r="T15" i="13"/>
  <c r="T30" i="13"/>
  <c r="T57" i="13"/>
  <c r="T78" i="13"/>
  <c r="U79" i="13" s="1"/>
  <c r="V80" i="13" s="1"/>
  <c r="W81" i="13" s="1"/>
  <c r="X82" i="13" s="1"/>
  <c r="Y83" i="13" s="1"/>
  <c r="Z84" i="13" s="1"/>
  <c r="AA85" i="13" s="1"/>
  <c r="AB86" i="13" s="1"/>
  <c r="AC87" i="13" s="1"/>
  <c r="AD88" i="13" s="1"/>
  <c r="AE89" i="13" s="1"/>
  <c r="AF90" i="13" s="1"/>
  <c r="AG91" i="13" s="1"/>
  <c r="AH92" i="13" s="1"/>
  <c r="AI93" i="13" s="1"/>
  <c r="AJ94" i="13" s="1"/>
  <c r="AK95" i="13" s="1"/>
  <c r="AL96" i="13" s="1"/>
  <c r="U7" i="13"/>
  <c r="T16" i="13"/>
  <c r="R19" i="13"/>
  <c r="R55" i="13"/>
  <c r="R50" i="13" s="1"/>
  <c r="U7" i="4"/>
  <c r="T15" i="4"/>
  <c r="T17" i="4" s="1"/>
  <c r="T18" i="4" s="1"/>
  <c r="T16" i="4"/>
  <c r="T24" i="4"/>
  <c r="T56" i="4"/>
  <c r="T74" i="4"/>
  <c r="U75" i="4" s="1"/>
  <c r="V76" i="4" s="1"/>
  <c r="W77" i="4" s="1"/>
  <c r="X78" i="4" s="1"/>
  <c r="Y79" i="4" s="1"/>
  <c r="Z80" i="4" s="1"/>
  <c r="AA81" i="4" s="1"/>
  <c r="AB82" i="4" s="1"/>
  <c r="AC83" i="4" s="1"/>
  <c r="AD84" i="4" s="1"/>
  <c r="AE85" i="4" s="1"/>
  <c r="AF86" i="4" s="1"/>
  <c r="AG87" i="4" s="1"/>
  <c r="AH88" i="4" s="1"/>
  <c r="AI89" i="4" s="1"/>
  <c r="AJ90" i="4" s="1"/>
  <c r="AK91" i="4" s="1"/>
  <c r="AL92" i="4" s="1"/>
  <c r="T20" i="4"/>
  <c r="U7" i="18"/>
  <c r="T16" i="18"/>
  <c r="T30" i="18"/>
  <c r="T57" i="18"/>
  <c r="T78" i="18"/>
  <c r="U79" i="18" s="1"/>
  <c r="V80" i="18" s="1"/>
  <c r="W81" i="18" s="1"/>
  <c r="X82" i="18" s="1"/>
  <c r="Y83" i="18" s="1"/>
  <c r="Z84" i="18" s="1"/>
  <c r="AA85" i="18" s="1"/>
  <c r="AB86" i="18" s="1"/>
  <c r="AC87" i="18" s="1"/>
  <c r="AD88" i="18" s="1"/>
  <c r="AE89" i="18" s="1"/>
  <c r="AF90" i="18" s="1"/>
  <c r="AG91" i="18" s="1"/>
  <c r="AH92" i="18" s="1"/>
  <c r="AI93" i="18" s="1"/>
  <c r="AJ94" i="18" s="1"/>
  <c r="AK95" i="18" s="1"/>
  <c r="AL96" i="18" s="1"/>
  <c r="T15" i="18"/>
  <c r="Q50" i="13"/>
  <c r="Q51" i="13" s="1"/>
  <c r="S17" i="8"/>
  <c r="P98" i="4"/>
  <c r="R98" i="4"/>
  <c r="T98" i="4"/>
  <c r="P100" i="4"/>
  <c r="P102" i="4"/>
  <c r="P104" i="4"/>
  <c r="P106" i="4"/>
  <c r="P108" i="4"/>
  <c r="P110" i="4"/>
  <c r="P112" i="4"/>
  <c r="P114" i="4"/>
  <c r="P116" i="4"/>
  <c r="P118" i="4"/>
  <c r="P120" i="4"/>
  <c r="Q98" i="4"/>
  <c r="S98" i="4"/>
  <c r="P99" i="4"/>
  <c r="P101" i="4"/>
  <c r="P103" i="4"/>
  <c r="P105" i="4"/>
  <c r="P107" i="4"/>
  <c r="P109" i="4"/>
  <c r="P111" i="4"/>
  <c r="P113" i="4"/>
  <c r="P115" i="4"/>
  <c r="P117" i="4"/>
  <c r="P119" i="4"/>
  <c r="N9" i="15"/>
  <c r="U43" i="22"/>
  <c r="U6" i="11"/>
  <c r="V115" i="10"/>
  <c r="U161" i="10"/>
  <c r="U148" i="10"/>
  <c r="U167" i="10" s="1"/>
  <c r="T82" i="22"/>
  <c r="T68" i="22"/>
  <c r="Q19" i="8"/>
  <c r="Q55" i="8"/>
  <c r="Q50" i="8" s="1"/>
  <c r="Q51" i="8" s="1"/>
  <c r="N7" i="11"/>
  <c r="N128" i="10"/>
  <c r="N73" i="22"/>
  <c r="N80" i="22" s="1"/>
  <c r="N89" i="22"/>
  <c r="N54" i="22"/>
  <c r="P158" i="9"/>
  <c r="P123" i="10"/>
  <c r="R42" i="9"/>
  <c r="Q46" i="9"/>
  <c r="O59" i="22"/>
  <c r="O118" i="10"/>
  <c r="J174" i="10"/>
  <c r="J169" i="10" s="1"/>
  <c r="J75" i="22"/>
  <c r="J45" i="22" s="1"/>
  <c r="M174" i="10"/>
  <c r="M169" i="10" s="1"/>
  <c r="M75" i="22"/>
  <c r="M45" i="22" s="1"/>
  <c r="M183" i="10"/>
  <c r="M178" i="10" s="1"/>
  <c r="M98" i="22"/>
  <c r="M48" i="22" s="1"/>
  <c r="L174" i="10"/>
  <c r="L169" i="10" s="1"/>
  <c r="L75" i="22"/>
  <c r="L45" i="22" s="1"/>
  <c r="L183" i="10"/>
  <c r="L178" i="10" s="1"/>
  <c r="L98" i="22"/>
  <c r="L48" i="22" s="1"/>
  <c r="K174" i="10"/>
  <c r="K169" i="10" s="1"/>
  <c r="K75" i="22"/>
  <c r="K45" i="22" s="1"/>
  <c r="K183" i="10"/>
  <c r="K178" i="10" s="1"/>
  <c r="K98" i="22"/>
  <c r="K48" i="22" s="1"/>
  <c r="I174" i="10"/>
  <c r="I169" i="10" s="1"/>
  <c r="I75" i="22"/>
  <c r="I45" i="22" s="1"/>
  <c r="I183" i="10"/>
  <c r="I178" i="10" s="1"/>
  <c r="I98" i="22"/>
  <c r="I48" i="22" s="1"/>
  <c r="Q103" i="9"/>
  <c r="R103" i="9"/>
  <c r="S103" i="9"/>
  <c r="T103" i="9"/>
  <c r="U103" i="9"/>
  <c r="Q104" i="9"/>
  <c r="Q105" i="9"/>
  <c r="Q106" i="9"/>
  <c r="Q107" i="9"/>
  <c r="Q108" i="9"/>
  <c r="Q109" i="9"/>
  <c r="Q110" i="9"/>
  <c r="Q111" i="9"/>
  <c r="Q112" i="9"/>
  <c r="Q113" i="9"/>
  <c r="Q114" i="9"/>
  <c r="Q115" i="9"/>
  <c r="Q116" i="9"/>
  <c r="Q117" i="9"/>
  <c r="Q118" i="9"/>
  <c r="Q119" i="9"/>
  <c r="Q120" i="9"/>
  <c r="Q121" i="9"/>
  <c r="Q122" i="9"/>
  <c r="Q123" i="9"/>
  <c r="Q124" i="9"/>
  <c r="P102" i="9"/>
  <c r="Q102" i="9"/>
  <c r="Q126" i="9" s="1"/>
  <c r="Q58" i="9" s="1"/>
  <c r="Q59" i="9" s="1"/>
  <c r="R102" i="9"/>
  <c r="S102" i="9"/>
  <c r="P103" i="9"/>
  <c r="P104" i="9"/>
  <c r="P105" i="9"/>
  <c r="P106" i="9"/>
  <c r="P107" i="9"/>
  <c r="P108" i="9"/>
  <c r="P109" i="9"/>
  <c r="P110" i="9"/>
  <c r="P111" i="9"/>
  <c r="P112" i="9"/>
  <c r="P113" i="9"/>
  <c r="P114" i="9"/>
  <c r="P115" i="9"/>
  <c r="P116" i="9"/>
  <c r="P117" i="9"/>
  <c r="P118" i="9"/>
  <c r="P119" i="9"/>
  <c r="P120" i="9"/>
  <c r="P121" i="9"/>
  <c r="P122" i="9"/>
  <c r="P123" i="9"/>
  <c r="P124" i="9"/>
  <c r="O99" i="22"/>
  <c r="J178" i="10"/>
  <c r="J98" i="22"/>
  <c r="J48" i="22" s="1"/>
  <c r="R51" i="8" l="1"/>
  <c r="Q67" i="8"/>
  <c r="O9" i="15"/>
  <c r="V43" i="22"/>
  <c r="V6" i="11"/>
  <c r="W115" i="10"/>
  <c r="V148" i="10"/>
  <c r="V167" i="10" s="1"/>
  <c r="V161" i="10"/>
  <c r="T19" i="4"/>
  <c r="T126" i="10"/>
  <c r="Q67" i="18"/>
  <c r="V42" i="8"/>
  <c r="U46" i="8"/>
  <c r="U120" i="10" s="1"/>
  <c r="U56" i="22" s="1"/>
  <c r="U70" i="22" s="1"/>
  <c r="U77" i="22" s="1"/>
  <c r="U171" i="10" s="1"/>
  <c r="I83" i="18"/>
  <c r="I106" i="18"/>
  <c r="T42" i="13"/>
  <c r="S46" i="13"/>
  <c r="S122" i="10" s="1"/>
  <c r="S58" i="22" s="1"/>
  <c r="S72" i="22" s="1"/>
  <c r="S79" i="22" s="1"/>
  <c r="S173" i="10" s="1"/>
  <c r="R99" i="4"/>
  <c r="T99" i="4"/>
  <c r="Q101" i="4"/>
  <c r="Q103" i="4"/>
  <c r="Q105" i="4"/>
  <c r="Q107" i="4"/>
  <c r="Q108" i="4"/>
  <c r="Q109" i="4"/>
  <c r="Q111" i="4"/>
  <c r="Q113" i="4"/>
  <c r="Q115" i="4"/>
  <c r="Q117" i="4"/>
  <c r="Q119" i="4"/>
  <c r="Q99" i="4"/>
  <c r="S99" i="4"/>
  <c r="U99" i="4"/>
  <c r="Q100" i="4"/>
  <c r="Q122" i="4" s="1"/>
  <c r="Q57" i="4" s="1"/>
  <c r="Q58" i="4" s="1"/>
  <c r="Q59" i="4" s="1"/>
  <c r="Q60" i="4" s="1"/>
  <c r="Q102" i="4"/>
  <c r="Q104" i="4"/>
  <c r="Q106" i="4"/>
  <c r="R107" i="4"/>
  <c r="R108" i="4"/>
  <c r="Q110" i="4"/>
  <c r="Q112" i="4"/>
  <c r="Q114" i="4"/>
  <c r="Q116" i="4"/>
  <c r="Q118" i="4"/>
  <c r="Q120" i="4"/>
  <c r="T18" i="8"/>
  <c r="T28" i="8"/>
  <c r="S18" i="18"/>
  <c r="S28" i="18"/>
  <c r="H83" i="13"/>
  <c r="H106" i="13"/>
  <c r="T102" i="13"/>
  <c r="T102" i="9"/>
  <c r="S18" i="8"/>
  <c r="S28" i="8"/>
  <c r="T17" i="18"/>
  <c r="V7" i="4"/>
  <c r="U15" i="4"/>
  <c r="U16" i="4"/>
  <c r="U20" i="4"/>
  <c r="U56" i="4"/>
  <c r="U74" i="4"/>
  <c r="U24" i="4"/>
  <c r="V7" i="13"/>
  <c r="U15" i="13"/>
  <c r="U17" i="13" s="1"/>
  <c r="U16" i="13"/>
  <c r="U30" i="13"/>
  <c r="U57" i="13"/>
  <c r="U78" i="13"/>
  <c r="T17" i="13"/>
  <c r="P105" i="18"/>
  <c r="P111" i="18"/>
  <c r="P119" i="18"/>
  <c r="P102" i="18"/>
  <c r="R102" i="18"/>
  <c r="T102" i="18"/>
  <c r="P104" i="18"/>
  <c r="P106" i="18"/>
  <c r="P108" i="18"/>
  <c r="P110" i="18"/>
  <c r="P112" i="18"/>
  <c r="P114" i="18"/>
  <c r="P116" i="18"/>
  <c r="P118" i="18"/>
  <c r="P120" i="18"/>
  <c r="P122" i="18"/>
  <c r="P124" i="18"/>
  <c r="Q102" i="18"/>
  <c r="S102" i="18"/>
  <c r="P103" i="18"/>
  <c r="P107" i="18"/>
  <c r="P109" i="18"/>
  <c r="P113" i="18"/>
  <c r="P115" i="18"/>
  <c r="P117" i="18"/>
  <c r="P121" i="18"/>
  <c r="P123" i="18"/>
  <c r="U42" i="18"/>
  <c r="T46" i="18"/>
  <c r="T121" i="10" s="1"/>
  <c r="T57" i="22" s="1"/>
  <c r="T71" i="22" s="1"/>
  <c r="T78" i="22" s="1"/>
  <c r="T172" i="10" s="1"/>
  <c r="V7" i="9"/>
  <c r="U15" i="9"/>
  <c r="U17" i="9" s="1"/>
  <c r="U16" i="9"/>
  <c r="U30" i="9"/>
  <c r="U57" i="9"/>
  <c r="U78" i="9"/>
  <c r="T17" i="9"/>
  <c r="H83" i="9"/>
  <c r="H106" i="9"/>
  <c r="R19" i="18"/>
  <c r="R50" i="18" s="1"/>
  <c r="R51" i="18" s="1"/>
  <c r="R55" i="18"/>
  <c r="S38" i="4"/>
  <c r="R49" i="4"/>
  <c r="R52" i="4" s="1"/>
  <c r="R54" i="4" s="1"/>
  <c r="R21" i="4" s="1"/>
  <c r="R66" i="4" s="1"/>
  <c r="R43" i="4"/>
  <c r="R119" i="10" s="1"/>
  <c r="R55" i="22" s="1"/>
  <c r="R69" i="22" s="1"/>
  <c r="R76" i="22" s="1"/>
  <c r="R170" i="10" s="1"/>
  <c r="I83" i="8"/>
  <c r="I106" i="8"/>
  <c r="H79" i="4"/>
  <c r="H102" i="4"/>
  <c r="U57" i="8"/>
  <c r="U78" i="8"/>
  <c r="V79" i="8" s="1"/>
  <c r="W80" i="8" s="1"/>
  <c r="X81" i="8" s="1"/>
  <c r="Y82" i="8" s="1"/>
  <c r="Z83" i="8" s="1"/>
  <c r="AA84" i="8" s="1"/>
  <c r="AB85" i="8" s="1"/>
  <c r="AC86" i="8" s="1"/>
  <c r="AD87" i="8" s="1"/>
  <c r="AE88" i="8" s="1"/>
  <c r="AF89" i="8" s="1"/>
  <c r="AG90" i="8" s="1"/>
  <c r="AH91" i="8" s="1"/>
  <c r="AI92" i="8" s="1"/>
  <c r="AJ93" i="8" s="1"/>
  <c r="AK94" i="8" s="1"/>
  <c r="AL95" i="8" s="1"/>
  <c r="U16" i="8"/>
  <c r="V7" i="8"/>
  <c r="U15" i="8"/>
  <c r="U17" i="8" s="1"/>
  <c r="U30" i="8"/>
  <c r="R19" i="9"/>
  <c r="R55" i="9"/>
  <c r="R50" i="9" s="1"/>
  <c r="R51" i="9" s="1"/>
  <c r="R67" i="9" s="1"/>
  <c r="S126" i="10"/>
  <c r="S19" i="4"/>
  <c r="S18" i="13"/>
  <c r="S28" i="13"/>
  <c r="S18" i="9"/>
  <c r="S28" i="9"/>
  <c r="U68" i="22"/>
  <c r="U82" i="22"/>
  <c r="P122" i="4"/>
  <c r="P57" i="4" s="1"/>
  <c r="P58" i="4" s="1"/>
  <c r="P59" i="4" s="1"/>
  <c r="P60" i="4" s="1"/>
  <c r="R51" i="13"/>
  <c r="Q67" i="13"/>
  <c r="V7" i="18"/>
  <c r="U15" i="18"/>
  <c r="U17" i="18" s="1"/>
  <c r="U16" i="18"/>
  <c r="U30" i="18"/>
  <c r="U57" i="18"/>
  <c r="U78" i="18"/>
  <c r="V79" i="18" s="1"/>
  <c r="W80" i="18" s="1"/>
  <c r="X81" i="18" s="1"/>
  <c r="Y82" i="18" s="1"/>
  <c r="Z83" i="18" s="1"/>
  <c r="AA84" i="18" s="1"/>
  <c r="AB85" i="18" s="1"/>
  <c r="AC86" i="18" s="1"/>
  <c r="AD87" i="18" s="1"/>
  <c r="AE88" i="18" s="1"/>
  <c r="AF89" i="18" s="1"/>
  <c r="AG90" i="18" s="1"/>
  <c r="AH91" i="18" s="1"/>
  <c r="AI92" i="18" s="1"/>
  <c r="AJ93" i="18" s="1"/>
  <c r="AK94" i="18" s="1"/>
  <c r="AL95" i="18" s="1"/>
  <c r="P60" i="13"/>
  <c r="P64" i="13"/>
  <c r="AG25" i="4"/>
  <c r="AF41" i="4"/>
  <c r="P112" i="8"/>
  <c r="P122" i="8"/>
  <c r="Q102" i="8"/>
  <c r="S102" i="8"/>
  <c r="U102" i="8"/>
  <c r="P103" i="8"/>
  <c r="P105" i="8"/>
  <c r="P107" i="8"/>
  <c r="P109" i="8"/>
  <c r="P111" i="8"/>
  <c r="P113" i="8"/>
  <c r="P115" i="8"/>
  <c r="P117" i="8"/>
  <c r="P119" i="8"/>
  <c r="P121" i="8"/>
  <c r="P123" i="8"/>
  <c r="P102" i="8"/>
  <c r="R102" i="8"/>
  <c r="T102" i="8"/>
  <c r="P104" i="8"/>
  <c r="P106" i="8"/>
  <c r="P108" i="8"/>
  <c r="P110" i="8"/>
  <c r="P114" i="8"/>
  <c r="P116" i="8"/>
  <c r="P118" i="8"/>
  <c r="P120" i="8"/>
  <c r="P124" i="8"/>
  <c r="O179" i="10"/>
  <c r="Q60" i="9"/>
  <c r="Q64" i="9"/>
  <c r="I46" i="22"/>
  <c r="I47" i="22"/>
  <c r="K46" i="22"/>
  <c r="K47" i="22"/>
  <c r="L46" i="22"/>
  <c r="L47" i="22"/>
  <c r="M46" i="22"/>
  <c r="M47" i="22"/>
  <c r="J46" i="22"/>
  <c r="J47" i="22"/>
  <c r="O7" i="11"/>
  <c r="O128" i="10"/>
  <c r="O73" i="22"/>
  <c r="O80" i="22" s="1"/>
  <c r="O89" i="22"/>
  <c r="O54" i="22"/>
  <c r="Q158" i="9"/>
  <c r="Q123" i="10"/>
  <c r="S42" i="9"/>
  <c r="R46" i="9"/>
  <c r="P59" i="22"/>
  <c r="P118" i="10"/>
  <c r="P7" i="11" s="1"/>
  <c r="N96" i="22"/>
  <c r="N84" i="22"/>
  <c r="N174" i="10"/>
  <c r="N169" i="10" s="1"/>
  <c r="N75" i="22"/>
  <c r="N45" i="22" s="1"/>
  <c r="N10" i="11"/>
  <c r="N146" i="10"/>
  <c r="N8" i="11"/>
  <c r="N9" i="11"/>
  <c r="P126" i="9"/>
  <c r="P58" i="9" s="1"/>
  <c r="P59" i="9" s="1"/>
  <c r="Q129" i="10" l="1"/>
  <c r="Q62" i="4"/>
  <c r="Q61" i="4"/>
  <c r="Q63" i="4"/>
  <c r="R67" i="18"/>
  <c r="P126" i="8"/>
  <c r="P58" i="8" s="1"/>
  <c r="P59" i="8" s="1"/>
  <c r="U18" i="18"/>
  <c r="U28" i="18"/>
  <c r="R103" i="13"/>
  <c r="T103" i="13"/>
  <c r="Q105" i="13"/>
  <c r="Q107" i="13"/>
  <c r="Q109" i="13"/>
  <c r="Q111" i="13"/>
  <c r="Q113" i="13"/>
  <c r="Q115" i="13"/>
  <c r="Q117" i="13"/>
  <c r="Q119" i="13"/>
  <c r="Q121" i="13"/>
  <c r="Q123" i="13"/>
  <c r="Q103" i="13"/>
  <c r="S103" i="13"/>
  <c r="U103" i="13"/>
  <c r="Q104" i="13"/>
  <c r="Q106" i="13"/>
  <c r="Q108" i="13"/>
  <c r="Q110" i="13"/>
  <c r="Q112" i="13"/>
  <c r="Q114" i="13"/>
  <c r="Q116" i="13"/>
  <c r="Q118" i="13"/>
  <c r="Q120" i="13"/>
  <c r="Q122" i="13"/>
  <c r="Q124" i="13"/>
  <c r="P129" i="10"/>
  <c r="P62" i="4"/>
  <c r="P61" i="4"/>
  <c r="P63" i="4"/>
  <c r="U104" i="9"/>
  <c r="R105" i="9"/>
  <c r="R111" i="9"/>
  <c r="R117" i="9"/>
  <c r="R123" i="9"/>
  <c r="R104" i="9"/>
  <c r="T104" i="9"/>
  <c r="V104" i="9"/>
  <c r="R106" i="9"/>
  <c r="R108" i="9"/>
  <c r="R110" i="9"/>
  <c r="R112" i="9"/>
  <c r="R114" i="9"/>
  <c r="R116" i="9"/>
  <c r="R118" i="9"/>
  <c r="R120" i="9"/>
  <c r="R122" i="9"/>
  <c r="R124" i="9"/>
  <c r="S104" i="9"/>
  <c r="R107" i="9"/>
  <c r="R109" i="9"/>
  <c r="R113" i="9"/>
  <c r="R115" i="9"/>
  <c r="R119" i="9"/>
  <c r="R121" i="9"/>
  <c r="W7" i="8"/>
  <c r="V15" i="8"/>
  <c r="V16" i="8"/>
  <c r="V30" i="8"/>
  <c r="V57" i="8"/>
  <c r="V78" i="8"/>
  <c r="T38" i="4"/>
  <c r="S49" i="4"/>
  <c r="S52" i="4" s="1"/>
  <c r="S54" i="4" s="1"/>
  <c r="S21" i="4" s="1"/>
  <c r="S66" i="4" s="1"/>
  <c r="S43" i="4"/>
  <c r="S119" i="10" s="1"/>
  <c r="S55" i="22" s="1"/>
  <c r="S69" i="22" s="1"/>
  <c r="S76" i="22" s="1"/>
  <c r="S170" i="10" s="1"/>
  <c r="H84" i="9"/>
  <c r="H107" i="9"/>
  <c r="V79" i="9"/>
  <c r="U102" i="9"/>
  <c r="U18" i="9"/>
  <c r="U28" i="9"/>
  <c r="AH25" i="4"/>
  <c r="AG41" i="4"/>
  <c r="P62" i="13"/>
  <c r="P132" i="10"/>
  <c r="P61" i="13"/>
  <c r="P63" i="13"/>
  <c r="P65" i="13" s="1"/>
  <c r="V15" i="18"/>
  <c r="V30" i="18"/>
  <c r="W7" i="18"/>
  <c r="V16" i="18"/>
  <c r="V57" i="18"/>
  <c r="V78" i="18"/>
  <c r="R67" i="13"/>
  <c r="S19" i="9"/>
  <c r="S55" i="9"/>
  <c r="S50" i="9" s="1"/>
  <c r="S51" i="9" s="1"/>
  <c r="S67" i="9" s="1"/>
  <c r="S19" i="13"/>
  <c r="S55" i="13"/>
  <c r="S50" i="13" s="1"/>
  <c r="S51" i="13" s="1"/>
  <c r="U18" i="8"/>
  <c r="U28" i="8"/>
  <c r="H103" i="4"/>
  <c r="H80" i="4"/>
  <c r="I84" i="8"/>
  <c r="I107" i="8"/>
  <c r="R119" i="4"/>
  <c r="R100" i="4"/>
  <c r="T100" i="4"/>
  <c r="V100" i="4"/>
  <c r="R102" i="4"/>
  <c r="R104" i="4"/>
  <c r="R106" i="4"/>
  <c r="R110" i="4"/>
  <c r="R112" i="4"/>
  <c r="R114" i="4"/>
  <c r="R116" i="4"/>
  <c r="R118" i="4"/>
  <c r="R120" i="4"/>
  <c r="S100" i="4"/>
  <c r="U100" i="4"/>
  <c r="R101" i="4"/>
  <c r="R103" i="4"/>
  <c r="R105" i="4"/>
  <c r="R109" i="4"/>
  <c r="R111" i="4"/>
  <c r="R113" i="4"/>
  <c r="R115" i="4"/>
  <c r="R117" i="4"/>
  <c r="T18" i="9"/>
  <c r="T28" i="9"/>
  <c r="W7" i="9"/>
  <c r="V16" i="9"/>
  <c r="V78" i="9"/>
  <c r="V30" i="9"/>
  <c r="V57" i="9"/>
  <c r="V15" i="9"/>
  <c r="V17" i="9" s="1"/>
  <c r="U46" i="18"/>
  <c r="U121" i="10" s="1"/>
  <c r="U57" i="22" s="1"/>
  <c r="U71" i="22" s="1"/>
  <c r="U78" i="22" s="1"/>
  <c r="U172" i="10" s="1"/>
  <c r="V42" i="18"/>
  <c r="P126" i="18"/>
  <c r="P58" i="18" s="1"/>
  <c r="P59" i="18" s="1"/>
  <c r="T18" i="13"/>
  <c r="T28" i="13"/>
  <c r="W7" i="13"/>
  <c r="V16" i="13"/>
  <c r="V57" i="13"/>
  <c r="V78" i="13"/>
  <c r="V15" i="13"/>
  <c r="V17" i="13" s="1"/>
  <c r="V30" i="13"/>
  <c r="V75" i="4"/>
  <c r="U98" i="4"/>
  <c r="U17" i="4"/>
  <c r="U18" i="4" s="1"/>
  <c r="T18" i="18"/>
  <c r="T28" i="18"/>
  <c r="S19" i="8"/>
  <c r="S55" i="8"/>
  <c r="S50" i="8" s="1"/>
  <c r="S51" i="8" s="1"/>
  <c r="U42" i="13"/>
  <c r="T46" i="13"/>
  <c r="T122" i="10" s="1"/>
  <c r="T58" i="22" s="1"/>
  <c r="T72" i="22" s="1"/>
  <c r="T79" i="22" s="1"/>
  <c r="T173" i="10" s="1"/>
  <c r="I107" i="18"/>
  <c r="I84" i="18"/>
  <c r="W42" i="8"/>
  <c r="V46" i="8"/>
  <c r="V120" i="10" s="1"/>
  <c r="V56" i="22" s="1"/>
  <c r="V70" i="22" s="1"/>
  <c r="V77" i="22" s="1"/>
  <c r="V171" i="10" s="1"/>
  <c r="P9" i="15"/>
  <c r="W43" i="22"/>
  <c r="W6" i="11"/>
  <c r="W148" i="10"/>
  <c r="W167" i="10" s="1"/>
  <c r="W161" i="10"/>
  <c r="X115" i="10"/>
  <c r="V68" i="22"/>
  <c r="V82" i="22"/>
  <c r="Q120" i="8"/>
  <c r="R103" i="8"/>
  <c r="T103" i="8"/>
  <c r="V103" i="8"/>
  <c r="Q105" i="8"/>
  <c r="Q107" i="8"/>
  <c r="Q109" i="8"/>
  <c r="Q111" i="8"/>
  <c r="Q113" i="8"/>
  <c r="Q115" i="8"/>
  <c r="Q117" i="8"/>
  <c r="Q119" i="8"/>
  <c r="Q121" i="8"/>
  <c r="Q123" i="8"/>
  <c r="Q103" i="8"/>
  <c r="Q126" i="8" s="1"/>
  <c r="Q58" i="8" s="1"/>
  <c r="Q59" i="8" s="1"/>
  <c r="S103" i="8"/>
  <c r="U103" i="8"/>
  <c r="Q104" i="8"/>
  <c r="Q106" i="8"/>
  <c r="Q108" i="8"/>
  <c r="Q110" i="8"/>
  <c r="Q112" i="8"/>
  <c r="Q114" i="8"/>
  <c r="Q116" i="8"/>
  <c r="Q118" i="8"/>
  <c r="Q122" i="8"/>
  <c r="Q124" i="8"/>
  <c r="U102" i="18"/>
  <c r="V79" i="13"/>
  <c r="W80" i="13" s="1"/>
  <c r="X81" i="13" s="1"/>
  <c r="Y82" i="13" s="1"/>
  <c r="Z83" i="13" s="1"/>
  <c r="AA84" i="13" s="1"/>
  <c r="AB85" i="13" s="1"/>
  <c r="AC86" i="13" s="1"/>
  <c r="AD87" i="13" s="1"/>
  <c r="AE88" i="13" s="1"/>
  <c r="AF89" i="13" s="1"/>
  <c r="AG90" i="13" s="1"/>
  <c r="AH91" i="13" s="1"/>
  <c r="AI92" i="13" s="1"/>
  <c r="AJ93" i="13" s="1"/>
  <c r="AK94" i="13" s="1"/>
  <c r="AL95" i="13" s="1"/>
  <c r="U102" i="13"/>
  <c r="U18" i="13"/>
  <c r="U28" i="13"/>
  <c r="W7" i="4"/>
  <c r="V15" i="4"/>
  <c r="V16" i="4"/>
  <c r="V24" i="4"/>
  <c r="V20" i="4"/>
  <c r="V56" i="4"/>
  <c r="V74" i="4"/>
  <c r="H84" i="13"/>
  <c r="H107" i="13"/>
  <c r="S19" i="18"/>
  <c r="S50" i="18" s="1"/>
  <c r="S51" i="18" s="1"/>
  <c r="S55" i="18"/>
  <c r="T19" i="8"/>
  <c r="T50" i="8" s="1"/>
  <c r="T55" i="8"/>
  <c r="Q103" i="18"/>
  <c r="Q126" i="18" s="1"/>
  <c r="Q58" i="18" s="1"/>
  <c r="Q59" i="18" s="1"/>
  <c r="S103" i="18"/>
  <c r="U103" i="18"/>
  <c r="Q104" i="18"/>
  <c r="Q106" i="18"/>
  <c r="Q108" i="18"/>
  <c r="Q110" i="18"/>
  <c r="Q112" i="18"/>
  <c r="Q114" i="18"/>
  <c r="Q116" i="18"/>
  <c r="Q118" i="18"/>
  <c r="Q120" i="18"/>
  <c r="Q122" i="18"/>
  <c r="Q124" i="18"/>
  <c r="R103" i="18"/>
  <c r="T103" i="18"/>
  <c r="V103" i="18"/>
  <c r="Q105" i="18"/>
  <c r="Q107" i="18"/>
  <c r="Q109" i="18"/>
  <c r="Q111" i="18"/>
  <c r="Q113" i="18"/>
  <c r="Q115" i="18"/>
  <c r="Q117" i="18"/>
  <c r="Q119" i="18"/>
  <c r="Q121" i="18"/>
  <c r="Q123" i="18"/>
  <c r="R67" i="8"/>
  <c r="P60" i="9"/>
  <c r="P64" i="9"/>
  <c r="N46" i="22"/>
  <c r="N47" i="22"/>
  <c r="N103" i="22"/>
  <c r="N91" i="22"/>
  <c r="P73" i="22"/>
  <c r="P80" i="22" s="1"/>
  <c r="P54" i="22"/>
  <c r="R158" i="9"/>
  <c r="R123" i="10"/>
  <c r="T42" i="9"/>
  <c r="S46" i="9"/>
  <c r="Q59" i="22"/>
  <c r="Q118" i="10"/>
  <c r="Q7" i="11" s="1"/>
  <c r="O96" i="22"/>
  <c r="O84" i="22"/>
  <c r="O174" i="10"/>
  <c r="O169" i="10" s="1"/>
  <c r="O75" i="22"/>
  <c r="O45" i="22" s="1"/>
  <c r="O10" i="11"/>
  <c r="O146" i="10"/>
  <c r="O8" i="11"/>
  <c r="O9" i="11"/>
  <c r="Q61" i="9"/>
  <c r="Q62" i="9"/>
  <c r="Q63" i="9"/>
  <c r="Q65" i="9" s="1"/>
  <c r="Q133" i="10"/>
  <c r="Q60" i="8" l="1"/>
  <c r="Q64" i="8"/>
  <c r="S67" i="13"/>
  <c r="Q60" i="18"/>
  <c r="Q64" i="18"/>
  <c r="S67" i="18"/>
  <c r="S67" i="8"/>
  <c r="T51" i="8"/>
  <c r="W75" i="4"/>
  <c r="V98" i="4"/>
  <c r="V42" i="13"/>
  <c r="U46" i="13"/>
  <c r="U122" i="10" s="1"/>
  <c r="U58" i="22" s="1"/>
  <c r="U72" i="22" s="1"/>
  <c r="U79" i="22" s="1"/>
  <c r="U173" i="10" s="1"/>
  <c r="U126" i="10"/>
  <c r="U19" i="4"/>
  <c r="V18" i="13"/>
  <c r="V28" i="13"/>
  <c r="X7" i="13"/>
  <c r="W15" i="13"/>
  <c r="W17" i="13" s="1"/>
  <c r="W16" i="13"/>
  <c r="W30" i="13"/>
  <c r="W78" i="13"/>
  <c r="W57" i="13"/>
  <c r="T19" i="13"/>
  <c r="T55" i="13"/>
  <c r="T50" i="13" s="1"/>
  <c r="T51" i="13" s="1"/>
  <c r="W79" i="9"/>
  <c r="V102" i="9"/>
  <c r="T19" i="9"/>
  <c r="T55" i="9"/>
  <c r="T50" i="9" s="1"/>
  <c r="T51" i="9" s="1"/>
  <c r="T67" i="9" s="1"/>
  <c r="R122" i="4"/>
  <c r="R57" i="4" s="1"/>
  <c r="R58" i="4" s="1"/>
  <c r="R59" i="4" s="1"/>
  <c r="R60" i="4" s="1"/>
  <c r="H81" i="4"/>
  <c r="H104" i="4"/>
  <c r="S105" i="9"/>
  <c r="S106" i="9"/>
  <c r="S112" i="9"/>
  <c r="S120" i="9"/>
  <c r="T105" i="9"/>
  <c r="V105" i="9"/>
  <c r="S107" i="9"/>
  <c r="S109" i="9"/>
  <c r="S111" i="9"/>
  <c r="S113" i="9"/>
  <c r="S115" i="9"/>
  <c r="S117" i="9"/>
  <c r="S119" i="9"/>
  <c r="S121" i="9"/>
  <c r="S123" i="9"/>
  <c r="U105" i="9"/>
  <c r="W105" i="9"/>
  <c r="S108" i="9"/>
  <c r="S110" i="9"/>
  <c r="S114" i="9"/>
  <c r="S116" i="9"/>
  <c r="S118" i="9"/>
  <c r="S122" i="9"/>
  <c r="S124" i="9"/>
  <c r="R104" i="13"/>
  <c r="T104" i="13"/>
  <c r="V104" i="13"/>
  <c r="R106" i="13"/>
  <c r="R108" i="13"/>
  <c r="R110" i="13"/>
  <c r="R112" i="13"/>
  <c r="R114" i="13"/>
  <c r="R116" i="13"/>
  <c r="R118" i="13"/>
  <c r="R120" i="13"/>
  <c r="R122" i="13"/>
  <c r="R124" i="13"/>
  <c r="S104" i="13"/>
  <c r="U104" i="13"/>
  <c r="W104" i="13"/>
  <c r="R105" i="13"/>
  <c r="R107" i="13"/>
  <c r="R109" i="13"/>
  <c r="R111" i="13"/>
  <c r="R113" i="13"/>
  <c r="R115" i="13"/>
  <c r="R117" i="13"/>
  <c r="R119" i="13"/>
  <c r="R121" i="13"/>
  <c r="R123" i="13"/>
  <c r="W79" i="18"/>
  <c r="V102" i="18"/>
  <c r="V17" i="4"/>
  <c r="V18" i="4" s="1"/>
  <c r="Q9" i="15"/>
  <c r="X43" i="22"/>
  <c r="X6" i="11"/>
  <c r="Q9" i="11" s="1"/>
  <c r="Y115" i="10"/>
  <c r="X148" i="10"/>
  <c r="X167" i="10" s="1"/>
  <c r="X161" i="10"/>
  <c r="W68" i="22"/>
  <c r="W82" i="22"/>
  <c r="I85" i="18"/>
  <c r="I108" i="18"/>
  <c r="T19" i="18"/>
  <c r="T55" i="18"/>
  <c r="W79" i="13"/>
  <c r="V102" i="13"/>
  <c r="P60" i="18"/>
  <c r="P64" i="18"/>
  <c r="W42" i="18"/>
  <c r="V46" i="18"/>
  <c r="V121" i="10" s="1"/>
  <c r="V57" i="22" s="1"/>
  <c r="V71" i="22" s="1"/>
  <c r="V78" i="22" s="1"/>
  <c r="V172" i="10" s="1"/>
  <c r="V18" i="9"/>
  <c r="V28" i="9"/>
  <c r="I85" i="8"/>
  <c r="I108" i="8"/>
  <c r="U19" i="8"/>
  <c r="U50" i="8" s="1"/>
  <c r="U55" i="8"/>
  <c r="X7" i="18"/>
  <c r="W15" i="18"/>
  <c r="W16" i="18"/>
  <c r="W30" i="18"/>
  <c r="W57" i="18"/>
  <c r="W78" i="18"/>
  <c r="V17" i="18"/>
  <c r="AI25" i="4"/>
  <c r="AH41" i="4"/>
  <c r="U19" i="9"/>
  <c r="U55" i="9"/>
  <c r="U50" i="9" s="1"/>
  <c r="U51" i="9" s="1"/>
  <c r="U67" i="9" s="1"/>
  <c r="W80" i="9"/>
  <c r="V103" i="9"/>
  <c r="H85" i="9"/>
  <c r="H108" i="9"/>
  <c r="T101" i="4"/>
  <c r="V101" i="4"/>
  <c r="S103" i="4"/>
  <c r="S105" i="4"/>
  <c r="S107" i="4"/>
  <c r="S109" i="4"/>
  <c r="S111" i="4"/>
  <c r="S113" i="4"/>
  <c r="S115" i="4"/>
  <c r="S117" i="4"/>
  <c r="S119" i="4"/>
  <c r="S101" i="4"/>
  <c r="U101" i="4"/>
  <c r="W101" i="4"/>
  <c r="S102" i="4"/>
  <c r="S104" i="4"/>
  <c r="S106" i="4"/>
  <c r="S108" i="4"/>
  <c r="S110" i="4"/>
  <c r="S112" i="4"/>
  <c r="S114" i="4"/>
  <c r="S116" i="4"/>
  <c r="S118" i="4"/>
  <c r="S122" i="4" s="1"/>
  <c r="S57" i="4" s="1"/>
  <c r="S58" i="4" s="1"/>
  <c r="S59" i="4" s="1"/>
  <c r="S60" i="4" s="1"/>
  <c r="S120" i="4"/>
  <c r="W79" i="8"/>
  <c r="V102" i="8"/>
  <c r="V17" i="8"/>
  <c r="R126" i="9"/>
  <c r="R58" i="9" s="1"/>
  <c r="R59" i="9" s="1"/>
  <c r="V103" i="13"/>
  <c r="R126" i="13"/>
  <c r="R58" i="13" s="1"/>
  <c r="R59" i="13" s="1"/>
  <c r="U19" i="18"/>
  <c r="U55" i="18"/>
  <c r="S104" i="18"/>
  <c r="U104" i="18"/>
  <c r="W104" i="18"/>
  <c r="R105" i="18"/>
  <c r="R107" i="18"/>
  <c r="R109" i="18"/>
  <c r="R111" i="18"/>
  <c r="R113" i="18"/>
  <c r="R115" i="18"/>
  <c r="R117" i="18"/>
  <c r="R119" i="18"/>
  <c r="R121" i="18"/>
  <c r="R123" i="18"/>
  <c r="R104" i="18"/>
  <c r="T104" i="18"/>
  <c r="V104" i="18"/>
  <c r="R106" i="18"/>
  <c r="R108" i="18"/>
  <c r="R110" i="18"/>
  <c r="R112" i="18"/>
  <c r="R114" i="18"/>
  <c r="R116" i="18"/>
  <c r="R118" i="18"/>
  <c r="R120" i="18"/>
  <c r="R122" i="18"/>
  <c r="R124" i="18"/>
  <c r="R104" i="8"/>
  <c r="R126" i="8" s="1"/>
  <c r="R58" i="8" s="1"/>
  <c r="R59" i="8" s="1"/>
  <c r="T104" i="8"/>
  <c r="V104" i="8"/>
  <c r="R106" i="8"/>
  <c r="R108" i="8"/>
  <c r="R110" i="8"/>
  <c r="R112" i="8"/>
  <c r="R114" i="8"/>
  <c r="R116" i="8"/>
  <c r="R118" i="8"/>
  <c r="R120" i="8"/>
  <c r="R122" i="8"/>
  <c r="R124" i="8"/>
  <c r="S104" i="8"/>
  <c r="U104" i="8"/>
  <c r="W104" i="8"/>
  <c r="R105" i="8"/>
  <c r="R107" i="8"/>
  <c r="R109" i="8"/>
  <c r="R111" i="8"/>
  <c r="R113" i="8"/>
  <c r="R115" i="8"/>
  <c r="R117" i="8"/>
  <c r="R119" i="8"/>
  <c r="R121" i="8"/>
  <c r="R123" i="8"/>
  <c r="H108" i="13"/>
  <c r="H85" i="13"/>
  <c r="X7" i="4"/>
  <c r="W15" i="4"/>
  <c r="W17" i="4" s="1"/>
  <c r="W18" i="4" s="1"/>
  <c r="W16" i="4"/>
  <c r="W20" i="4"/>
  <c r="W56" i="4"/>
  <c r="W74" i="4"/>
  <c r="W24" i="4"/>
  <c r="U19" i="13"/>
  <c r="U50" i="13" s="1"/>
  <c r="U55" i="13"/>
  <c r="W46" i="8"/>
  <c r="W120" i="10" s="1"/>
  <c r="W56" i="22" s="1"/>
  <c r="W70" i="22" s="1"/>
  <c r="W77" i="22" s="1"/>
  <c r="W171" i="10" s="1"/>
  <c r="X42" i="8"/>
  <c r="T50" i="18"/>
  <c r="T51" i="18" s="1"/>
  <c r="W76" i="4"/>
  <c r="V99" i="4"/>
  <c r="X7" i="9"/>
  <c r="W15" i="9"/>
  <c r="W17" i="9" s="1"/>
  <c r="W16" i="9"/>
  <c r="W30" i="9"/>
  <c r="W57" i="9"/>
  <c r="W78" i="9"/>
  <c r="P139" i="10"/>
  <c r="P88" i="22"/>
  <c r="P95" i="22" s="1"/>
  <c r="P102" i="22" s="1"/>
  <c r="P182" i="10" s="1"/>
  <c r="U38" i="4"/>
  <c r="T49" i="4"/>
  <c r="T52" i="4" s="1"/>
  <c r="T54" i="4" s="1"/>
  <c r="T21" i="4" s="1"/>
  <c r="T66" i="4" s="1"/>
  <c r="T43" i="4"/>
  <c r="T119" i="10" s="1"/>
  <c r="T55" i="22" s="1"/>
  <c r="T69" i="22" s="1"/>
  <c r="T76" i="22" s="1"/>
  <c r="T170" i="10" s="1"/>
  <c r="W57" i="8"/>
  <c r="W78" i="8"/>
  <c r="X7" i="8"/>
  <c r="W15" i="8"/>
  <c r="W30" i="8"/>
  <c r="W16" i="8"/>
  <c r="S126" i="9"/>
  <c r="S58" i="9" s="1"/>
  <c r="S59" i="9" s="1"/>
  <c r="P136" i="10"/>
  <c r="P85" i="22"/>
  <c r="P92" i="22" s="1"/>
  <c r="P99" i="22" s="1"/>
  <c r="P179" i="10" s="1"/>
  <c r="Q126" i="13"/>
  <c r="Q58" i="13" s="1"/>
  <c r="Q59" i="13" s="1"/>
  <c r="U50" i="18"/>
  <c r="P60" i="8"/>
  <c r="P64" i="8"/>
  <c r="Q85" i="22"/>
  <c r="Q92" i="22" s="1"/>
  <c r="Q99" i="22" s="1"/>
  <c r="Q179" i="10" s="1"/>
  <c r="Q136" i="10"/>
  <c r="Q89" i="22"/>
  <c r="Q140" i="10"/>
  <c r="P9" i="11"/>
  <c r="R9" i="11"/>
  <c r="T9" i="11"/>
  <c r="V9" i="11"/>
  <c r="O46" i="22"/>
  <c r="O47" i="22"/>
  <c r="O103" i="22"/>
  <c r="O91" i="22"/>
  <c r="Q73" i="22"/>
  <c r="Q80" i="22" s="1"/>
  <c r="Q54" i="22"/>
  <c r="S158" i="9"/>
  <c r="S123" i="10"/>
  <c r="U42" i="9"/>
  <c r="T46" i="9"/>
  <c r="R59" i="22"/>
  <c r="R118" i="10"/>
  <c r="R7" i="11" s="1"/>
  <c r="P174" i="10"/>
  <c r="P169" i="10" s="1"/>
  <c r="P75" i="22"/>
  <c r="P45" i="22" s="1"/>
  <c r="N183" i="10"/>
  <c r="N178" i="10" s="1"/>
  <c r="N98" i="22"/>
  <c r="N48" i="22" s="1"/>
  <c r="P61" i="9"/>
  <c r="P62" i="9"/>
  <c r="P63" i="9"/>
  <c r="P65" i="9" s="1"/>
  <c r="P133" i="10"/>
  <c r="U51" i="18" l="1"/>
  <c r="T67" i="18"/>
  <c r="R64" i="8"/>
  <c r="R60" i="8"/>
  <c r="S129" i="10"/>
  <c r="S62" i="4"/>
  <c r="S61" i="4"/>
  <c r="S63" i="4"/>
  <c r="T67" i="13"/>
  <c r="U51" i="13"/>
  <c r="S64" i="9"/>
  <c r="S60" i="9"/>
  <c r="Y7" i="8"/>
  <c r="X15" i="8"/>
  <c r="X16" i="8"/>
  <c r="X30" i="8"/>
  <c r="X57" i="8"/>
  <c r="X78" i="8"/>
  <c r="X79" i="9"/>
  <c r="W102" i="9"/>
  <c r="X75" i="4"/>
  <c r="W98" i="4"/>
  <c r="W126" i="10"/>
  <c r="W19" i="4"/>
  <c r="H109" i="13"/>
  <c r="H86" i="13"/>
  <c r="R64" i="13"/>
  <c r="R60" i="13"/>
  <c r="V18" i="8"/>
  <c r="V28" i="8"/>
  <c r="X80" i="8"/>
  <c r="W103" i="8"/>
  <c r="W9" i="11"/>
  <c r="U9" i="11"/>
  <c r="S9" i="11"/>
  <c r="P62" i="8"/>
  <c r="P130" i="10"/>
  <c r="P61" i="8"/>
  <c r="P63" i="8"/>
  <c r="P65" i="8" s="1"/>
  <c r="P157" i="10" s="1"/>
  <c r="Q60" i="13"/>
  <c r="Q64" i="13"/>
  <c r="W17" i="8"/>
  <c r="X79" i="8"/>
  <c r="W102" i="8"/>
  <c r="V38" i="4"/>
  <c r="U49" i="4"/>
  <c r="U52" i="4" s="1"/>
  <c r="U54" i="4" s="1"/>
  <c r="U21" i="4" s="1"/>
  <c r="U66" i="4" s="1"/>
  <c r="U43" i="4"/>
  <c r="U119" i="10" s="1"/>
  <c r="U55" i="22" s="1"/>
  <c r="U69" i="22" s="1"/>
  <c r="U76" i="22" s="1"/>
  <c r="U170" i="10" s="1"/>
  <c r="X15" i="9"/>
  <c r="X17" i="9" s="1"/>
  <c r="X78" i="9"/>
  <c r="Y7" i="9"/>
  <c r="X16" i="9"/>
  <c r="X30" i="9"/>
  <c r="X57" i="9"/>
  <c r="X77" i="4"/>
  <c r="W100" i="4"/>
  <c r="Y42" i="8"/>
  <c r="X46" i="8"/>
  <c r="X120" i="10" s="1"/>
  <c r="X56" i="22" s="1"/>
  <c r="X70" i="22" s="1"/>
  <c r="X77" i="22" s="1"/>
  <c r="X171" i="10" s="1"/>
  <c r="Y7" i="4"/>
  <c r="X15" i="4"/>
  <c r="X16" i="4"/>
  <c r="X24" i="4"/>
  <c r="X56" i="4"/>
  <c r="X74" i="4"/>
  <c r="X20" i="4"/>
  <c r="R126" i="18"/>
  <c r="R58" i="18" s="1"/>
  <c r="R59" i="18" s="1"/>
  <c r="R60" i="9"/>
  <c r="R64" i="9"/>
  <c r="H86" i="9"/>
  <c r="H109" i="9"/>
  <c r="X81" i="9"/>
  <c r="W104" i="9"/>
  <c r="AJ25" i="4"/>
  <c r="AI41" i="4"/>
  <c r="X79" i="18"/>
  <c r="W102" i="18"/>
  <c r="W17" i="18"/>
  <c r="X80" i="13"/>
  <c r="W103" i="13"/>
  <c r="R9" i="15"/>
  <c r="Y43" i="22"/>
  <c r="Z115" i="10"/>
  <c r="Y161" i="10"/>
  <c r="Y148" i="10"/>
  <c r="Y167" i="10" s="1"/>
  <c r="X82" i="22"/>
  <c r="X68" i="22"/>
  <c r="R129" i="10"/>
  <c r="R62" i="4"/>
  <c r="R61" i="4"/>
  <c r="R63" i="4"/>
  <c r="X80" i="9"/>
  <c r="W103" i="9"/>
  <c r="X79" i="13"/>
  <c r="W102" i="13"/>
  <c r="X15" i="13"/>
  <c r="X30" i="13"/>
  <c r="X57" i="13"/>
  <c r="X78" i="13"/>
  <c r="Y7" i="13"/>
  <c r="X16" i="13"/>
  <c r="V19" i="13"/>
  <c r="V55" i="13"/>
  <c r="W42" i="13"/>
  <c r="V46" i="13"/>
  <c r="V122" i="10" s="1"/>
  <c r="V58" i="22" s="1"/>
  <c r="V72" i="22" s="1"/>
  <c r="V79" i="22" s="1"/>
  <c r="V173" i="10" s="1"/>
  <c r="X76" i="4"/>
  <c r="W99" i="4"/>
  <c r="T67" i="8"/>
  <c r="U51" i="8"/>
  <c r="T105" i="18"/>
  <c r="V105" i="18"/>
  <c r="X105" i="18"/>
  <c r="S107" i="18"/>
  <c r="S109" i="18"/>
  <c r="S111" i="18"/>
  <c r="S113" i="18"/>
  <c r="S115" i="18"/>
  <c r="S117" i="18"/>
  <c r="S119" i="18"/>
  <c r="S121" i="18"/>
  <c r="S123" i="18"/>
  <c r="S105" i="18"/>
  <c r="U105" i="18"/>
  <c r="W105" i="18"/>
  <c r="S106" i="18"/>
  <c r="S108" i="18"/>
  <c r="S110" i="18"/>
  <c r="S112" i="18"/>
  <c r="S114" i="18"/>
  <c r="S116" i="18"/>
  <c r="S118" i="18"/>
  <c r="S120" i="18"/>
  <c r="S122" i="18"/>
  <c r="S124" i="18"/>
  <c r="S126" i="18" s="1"/>
  <c r="S58" i="18" s="1"/>
  <c r="S59" i="18" s="1"/>
  <c r="T105" i="13"/>
  <c r="V105" i="13"/>
  <c r="X105" i="13"/>
  <c r="S105" i="13"/>
  <c r="U105" i="13"/>
  <c r="W105" i="13"/>
  <c r="S106" i="13"/>
  <c r="S108" i="13"/>
  <c r="S110" i="13"/>
  <c r="S112" i="13"/>
  <c r="S114" i="13"/>
  <c r="S116" i="13"/>
  <c r="S118" i="13"/>
  <c r="S120" i="13"/>
  <c r="S122" i="13"/>
  <c r="S124" i="13"/>
  <c r="S107" i="13"/>
  <c r="S109" i="13"/>
  <c r="S111" i="13"/>
  <c r="S113" i="13"/>
  <c r="S115" i="13"/>
  <c r="S117" i="13"/>
  <c r="S119" i="13"/>
  <c r="S121" i="13"/>
  <c r="S123" i="13"/>
  <c r="T102" i="4"/>
  <c r="V102" i="4"/>
  <c r="X102" i="4"/>
  <c r="T104" i="4"/>
  <c r="T106" i="4"/>
  <c r="T108" i="4"/>
  <c r="T110" i="4"/>
  <c r="T112" i="4"/>
  <c r="T114" i="4"/>
  <c r="T116" i="4"/>
  <c r="T118" i="4"/>
  <c r="T120" i="4"/>
  <c r="U102" i="4"/>
  <c r="W102" i="4"/>
  <c r="T103" i="4"/>
  <c r="T105" i="4"/>
  <c r="T107" i="4"/>
  <c r="T109" i="4"/>
  <c r="T111" i="4"/>
  <c r="T113" i="4"/>
  <c r="T115" i="4"/>
  <c r="T117" i="4"/>
  <c r="T119" i="4"/>
  <c r="W18" i="9"/>
  <c r="W28" i="9"/>
  <c r="W107" i="9"/>
  <c r="U108" i="9"/>
  <c r="U114" i="9"/>
  <c r="U122" i="9"/>
  <c r="V107" i="9"/>
  <c r="X107" i="9"/>
  <c r="U109" i="9"/>
  <c r="U111" i="9"/>
  <c r="U113" i="9"/>
  <c r="U115" i="9"/>
  <c r="U117" i="9"/>
  <c r="U119" i="9"/>
  <c r="U121" i="9"/>
  <c r="U123" i="9"/>
  <c r="U107" i="9"/>
  <c r="Y107" i="9"/>
  <c r="U110" i="9"/>
  <c r="U112" i="9"/>
  <c r="U116" i="9"/>
  <c r="U118" i="9"/>
  <c r="U120" i="9"/>
  <c r="U124" i="9"/>
  <c r="V18" i="18"/>
  <c r="V28" i="18"/>
  <c r="Y7" i="18"/>
  <c r="X16" i="18"/>
  <c r="X15" i="18"/>
  <c r="X17" i="18" s="1"/>
  <c r="X57" i="18"/>
  <c r="X78" i="18"/>
  <c r="X30" i="18"/>
  <c r="I86" i="8"/>
  <c r="I109" i="8"/>
  <c r="V19" i="9"/>
  <c r="V55" i="9"/>
  <c r="X42" i="18"/>
  <c r="W46" i="18"/>
  <c r="W121" i="10" s="1"/>
  <c r="W57" i="22" s="1"/>
  <c r="W71" i="22" s="1"/>
  <c r="W78" i="22" s="1"/>
  <c r="W172" i="10" s="1"/>
  <c r="P62" i="18"/>
  <c r="P131" i="10"/>
  <c r="P61" i="18"/>
  <c r="P63" i="18"/>
  <c r="P65" i="18" s="1"/>
  <c r="I86" i="18"/>
  <c r="I109" i="18"/>
  <c r="V19" i="4"/>
  <c r="V126" i="10"/>
  <c r="X80" i="18"/>
  <c r="W103" i="18"/>
  <c r="H82" i="4"/>
  <c r="H105" i="4"/>
  <c r="W106" i="9"/>
  <c r="T107" i="9"/>
  <c r="T115" i="9"/>
  <c r="T106" i="9"/>
  <c r="V106" i="9"/>
  <c r="X106" i="9"/>
  <c r="T108" i="9"/>
  <c r="T110" i="9"/>
  <c r="T112" i="9"/>
  <c r="T114" i="9"/>
  <c r="T116" i="9"/>
  <c r="T118" i="9"/>
  <c r="T120" i="9"/>
  <c r="T122" i="9"/>
  <c r="T124" i="9"/>
  <c r="T126" i="9" s="1"/>
  <c r="T58" i="9" s="1"/>
  <c r="T59" i="9" s="1"/>
  <c r="U106" i="9"/>
  <c r="T109" i="9"/>
  <c r="T111" i="9"/>
  <c r="T113" i="9"/>
  <c r="T117" i="9"/>
  <c r="T119" i="9"/>
  <c r="T121" i="9"/>
  <c r="T123" i="9"/>
  <c r="W18" i="13"/>
  <c r="W28" i="13"/>
  <c r="V50" i="13"/>
  <c r="S105" i="8"/>
  <c r="U105" i="8"/>
  <c r="W105" i="8"/>
  <c r="S106" i="8"/>
  <c r="S108" i="8"/>
  <c r="S110" i="8"/>
  <c r="S112" i="8"/>
  <c r="S114" i="8"/>
  <c r="S116" i="8"/>
  <c r="S118" i="8"/>
  <c r="S120" i="8"/>
  <c r="S122" i="8"/>
  <c r="S124" i="8"/>
  <c r="T105" i="8"/>
  <c r="V105" i="8"/>
  <c r="X105" i="8"/>
  <c r="S107" i="8"/>
  <c r="S109" i="8"/>
  <c r="S111" i="8"/>
  <c r="S113" i="8"/>
  <c r="S115" i="8"/>
  <c r="S117" i="8"/>
  <c r="S119" i="8"/>
  <c r="S121" i="8"/>
  <c r="S123" i="8"/>
  <c r="Q62" i="18"/>
  <c r="Q131" i="10"/>
  <c r="Q61" i="18"/>
  <c r="Q63" i="18"/>
  <c r="Q65" i="18" s="1"/>
  <c r="Q62" i="8"/>
  <c r="Q130" i="10"/>
  <c r="Q61" i="8"/>
  <c r="Q63" i="8"/>
  <c r="Q65" i="8" s="1"/>
  <c r="P89" i="22"/>
  <c r="P140" i="10"/>
  <c r="P128" i="10"/>
  <c r="R73" i="22"/>
  <c r="R80" i="22" s="1"/>
  <c r="R54" i="22"/>
  <c r="T158" i="9"/>
  <c r="T123" i="10"/>
  <c r="V42" i="9"/>
  <c r="U46" i="9"/>
  <c r="S59" i="22"/>
  <c r="S118" i="10"/>
  <c r="S7" i="11" s="1"/>
  <c r="Q174" i="10"/>
  <c r="Q169" i="10" s="1"/>
  <c r="Q75" i="22"/>
  <c r="Q45" i="22" s="1"/>
  <c r="O183" i="10"/>
  <c r="O178" i="10" s="1"/>
  <c r="O98" i="22"/>
  <c r="O48" i="22" s="1"/>
  <c r="Q96" i="22"/>
  <c r="S64" i="18" l="1"/>
  <c r="S60" i="18"/>
  <c r="T60" i="9"/>
  <c r="T64" i="9"/>
  <c r="P163" i="10"/>
  <c r="I10" i="15"/>
  <c r="Q137" i="10"/>
  <c r="Q86" i="22"/>
  <c r="Q138" i="10"/>
  <c r="Q87" i="22"/>
  <c r="Q94" i="22" s="1"/>
  <c r="Q101" i="22" s="1"/>
  <c r="Q181" i="10" s="1"/>
  <c r="S126" i="8"/>
  <c r="S58" i="8" s="1"/>
  <c r="S59" i="8" s="1"/>
  <c r="W19" i="13"/>
  <c r="W55" i="13"/>
  <c r="U126" i="9"/>
  <c r="U58" i="9" s="1"/>
  <c r="U59" i="9" s="1"/>
  <c r="H106" i="4"/>
  <c r="H83" i="4"/>
  <c r="P138" i="10"/>
  <c r="P87" i="22"/>
  <c r="P94" i="22" s="1"/>
  <c r="P101" i="22" s="1"/>
  <c r="P181" i="10" s="1"/>
  <c r="V50" i="9"/>
  <c r="V51" i="9" s="1"/>
  <c r="V67" i="9" s="1"/>
  <c r="T122" i="4"/>
  <c r="T57" i="4" s="1"/>
  <c r="T58" i="4" s="1"/>
  <c r="T59" i="4" s="1"/>
  <c r="T60" i="4" s="1"/>
  <c r="S126" i="13"/>
  <c r="S58" i="13" s="1"/>
  <c r="S59" i="13" s="1"/>
  <c r="U106" i="8"/>
  <c r="W106" i="8"/>
  <c r="Y106" i="8"/>
  <c r="T107" i="8"/>
  <c r="T126" i="8" s="1"/>
  <c r="T58" i="8" s="1"/>
  <c r="T59" i="8" s="1"/>
  <c r="T109" i="8"/>
  <c r="T111" i="8"/>
  <c r="T113" i="8"/>
  <c r="T115" i="8"/>
  <c r="T117" i="8"/>
  <c r="T119" i="8"/>
  <c r="T121" i="8"/>
  <c r="T123" i="8"/>
  <c r="T106" i="8"/>
  <c r="V106" i="8"/>
  <c r="X106" i="8"/>
  <c r="T108" i="8"/>
  <c r="T110" i="8"/>
  <c r="T112" i="8"/>
  <c r="T114" i="8"/>
  <c r="T116" i="8"/>
  <c r="T118" i="8"/>
  <c r="T120" i="8"/>
  <c r="T122" i="8"/>
  <c r="T124" i="8"/>
  <c r="Y77" i="4"/>
  <c r="X100" i="4"/>
  <c r="X42" i="13"/>
  <c r="W46" i="13"/>
  <c r="W122" i="10" s="1"/>
  <c r="W58" i="22" s="1"/>
  <c r="W72" i="22" s="1"/>
  <c r="W79" i="22" s="1"/>
  <c r="W173" i="10" s="1"/>
  <c r="Z7" i="13"/>
  <c r="Y15" i="13"/>
  <c r="Y16" i="13"/>
  <c r="Y30" i="13"/>
  <c r="Y57" i="13"/>
  <c r="Y78" i="13"/>
  <c r="X17" i="13"/>
  <c r="Y80" i="13"/>
  <c r="X103" i="13"/>
  <c r="Y81" i="9"/>
  <c r="X104" i="9"/>
  <c r="R85" i="22"/>
  <c r="R136" i="10"/>
  <c r="S9" i="15"/>
  <c r="Z43" i="22"/>
  <c r="AA115" i="10"/>
  <c r="Z148" i="10"/>
  <c r="Z167" i="10" s="1"/>
  <c r="Z161" i="10"/>
  <c r="Y81" i="13"/>
  <c r="X104" i="13"/>
  <c r="R64" i="18"/>
  <c r="R60" i="18"/>
  <c r="Z7" i="4"/>
  <c r="Y15" i="4"/>
  <c r="Y16" i="4"/>
  <c r="Y20" i="4"/>
  <c r="Y56" i="4"/>
  <c r="Y74" i="4"/>
  <c r="Y24" i="4"/>
  <c r="Z42" i="8"/>
  <c r="Y46" i="8"/>
  <c r="Y120" i="10" s="1"/>
  <c r="Y56" i="22" s="1"/>
  <c r="Y70" i="22" s="1"/>
  <c r="Y77" i="22" s="1"/>
  <c r="Y171" i="10" s="1"/>
  <c r="Y78" i="4"/>
  <c r="X101" i="4"/>
  <c r="Z7" i="9"/>
  <c r="Y15" i="9"/>
  <c r="Y17" i="9" s="1"/>
  <c r="Y16" i="9"/>
  <c r="Y30" i="9"/>
  <c r="Y57" i="9"/>
  <c r="Y78" i="9"/>
  <c r="X18" i="9"/>
  <c r="X28" i="9"/>
  <c r="V103" i="4"/>
  <c r="X103" i="4"/>
  <c r="U105" i="4"/>
  <c r="U107" i="4"/>
  <c r="U109" i="4"/>
  <c r="U111" i="4"/>
  <c r="U113" i="4"/>
  <c r="U115" i="4"/>
  <c r="U117" i="4"/>
  <c r="U119" i="4"/>
  <c r="U103" i="4"/>
  <c r="U122" i="4" s="1"/>
  <c r="U57" i="4" s="1"/>
  <c r="U58" i="4" s="1"/>
  <c r="U59" i="4" s="1"/>
  <c r="U60" i="4" s="1"/>
  <c r="W103" i="4"/>
  <c r="Y103" i="4"/>
  <c r="U104" i="4"/>
  <c r="U106" i="4"/>
  <c r="U108" i="4"/>
  <c r="U110" i="4"/>
  <c r="U112" i="4"/>
  <c r="U114" i="4"/>
  <c r="U116" i="4"/>
  <c r="U118" i="4"/>
  <c r="U120" i="4"/>
  <c r="W18" i="8"/>
  <c r="W28" i="8"/>
  <c r="Q62" i="13"/>
  <c r="Q132" i="10"/>
  <c r="Q61" i="13"/>
  <c r="Q63" i="13"/>
  <c r="Q65" i="13" s="1"/>
  <c r="Q157" i="10" s="1"/>
  <c r="R62" i="13"/>
  <c r="R132" i="10"/>
  <c r="R61" i="13"/>
  <c r="R63" i="13"/>
  <c r="R65" i="13" s="1"/>
  <c r="H87" i="13"/>
  <c r="H110" i="13"/>
  <c r="Y79" i="8"/>
  <c r="X102" i="8"/>
  <c r="X17" i="8"/>
  <c r="S133" i="10"/>
  <c r="S61" i="9"/>
  <c r="S63" i="9"/>
  <c r="S65" i="9" s="1"/>
  <c r="S62" i="9"/>
  <c r="T120" i="13"/>
  <c r="U106" i="13"/>
  <c r="W106" i="13"/>
  <c r="Y106" i="13"/>
  <c r="T107" i="13"/>
  <c r="T109" i="13"/>
  <c r="T111" i="13"/>
  <c r="T113" i="13"/>
  <c r="T115" i="13"/>
  <c r="T117" i="13"/>
  <c r="T119" i="13"/>
  <c r="T121" i="13"/>
  <c r="T123" i="13"/>
  <c r="T106" i="13"/>
  <c r="V106" i="13"/>
  <c r="X106" i="13"/>
  <c r="T108" i="13"/>
  <c r="T110" i="13"/>
  <c r="T112" i="13"/>
  <c r="T114" i="13"/>
  <c r="T116" i="13"/>
  <c r="T118" i="13"/>
  <c r="T122" i="13"/>
  <c r="T124" i="13"/>
  <c r="R62" i="8"/>
  <c r="R130" i="10"/>
  <c r="R61" i="8"/>
  <c r="R63" i="8"/>
  <c r="R65" i="8" s="1"/>
  <c r="T113" i="18"/>
  <c r="T106" i="18"/>
  <c r="V106" i="18"/>
  <c r="X106" i="18"/>
  <c r="T108" i="18"/>
  <c r="T110" i="18"/>
  <c r="T112" i="18"/>
  <c r="T114" i="18"/>
  <c r="T116" i="18"/>
  <c r="T118" i="18"/>
  <c r="T120" i="18"/>
  <c r="T122" i="18"/>
  <c r="T124" i="18"/>
  <c r="T126" i="18" s="1"/>
  <c r="T58" i="18" s="1"/>
  <c r="T59" i="18" s="1"/>
  <c r="U106" i="18"/>
  <c r="W106" i="18"/>
  <c r="Y106" i="18"/>
  <c r="T107" i="18"/>
  <c r="T109" i="18"/>
  <c r="T111" i="18"/>
  <c r="T115" i="18"/>
  <c r="T117" i="18"/>
  <c r="T119" i="18"/>
  <c r="T121" i="18"/>
  <c r="T123" i="18"/>
  <c r="W50" i="13"/>
  <c r="Y81" i="18"/>
  <c r="X104" i="18"/>
  <c r="I110" i="18"/>
  <c r="I87" i="18"/>
  <c r="Y42" i="18"/>
  <c r="X46" i="18"/>
  <c r="X121" i="10" s="1"/>
  <c r="X57" i="22" s="1"/>
  <c r="X71" i="22" s="1"/>
  <c r="X78" i="22" s="1"/>
  <c r="X172" i="10" s="1"/>
  <c r="I87" i="8"/>
  <c r="I110" i="8"/>
  <c r="Y79" i="18"/>
  <c r="X102" i="18"/>
  <c r="X18" i="18"/>
  <c r="X28" i="18"/>
  <c r="Z7" i="18"/>
  <c r="Y15" i="18"/>
  <c r="Y17" i="18" s="1"/>
  <c r="Y16" i="18"/>
  <c r="Y30" i="18"/>
  <c r="Y57" i="18"/>
  <c r="Y78" i="18"/>
  <c r="V19" i="18"/>
  <c r="V50" i="18" s="1"/>
  <c r="V51" i="18" s="1"/>
  <c r="V55" i="18"/>
  <c r="W19" i="9"/>
  <c r="W55" i="9"/>
  <c r="W50" i="9" s="1"/>
  <c r="W51" i="9" s="1"/>
  <c r="W67" i="9" s="1"/>
  <c r="U67" i="8"/>
  <c r="Y79" i="13"/>
  <c r="X102" i="13"/>
  <c r="Y68" i="22"/>
  <c r="Y82" i="22"/>
  <c r="W18" i="18"/>
  <c r="W28" i="18"/>
  <c r="Y80" i="18"/>
  <c r="X103" i="18"/>
  <c r="AK25" i="4"/>
  <c r="AJ41" i="4"/>
  <c r="Y82" i="9"/>
  <c r="X105" i="9"/>
  <c r="H87" i="9"/>
  <c r="H110" i="9"/>
  <c r="R62" i="9"/>
  <c r="R61" i="9"/>
  <c r="R63" i="9"/>
  <c r="R65" i="9" s="1"/>
  <c r="R133" i="10"/>
  <c r="Y75" i="4"/>
  <c r="X98" i="4"/>
  <c r="X17" i="4"/>
  <c r="X18" i="4" s="1"/>
  <c r="Y79" i="9"/>
  <c r="X102" i="9"/>
  <c r="W38" i="4"/>
  <c r="V49" i="4"/>
  <c r="V52" i="4" s="1"/>
  <c r="V54" i="4" s="1"/>
  <c r="V21" i="4" s="1"/>
  <c r="V66" i="4" s="1"/>
  <c r="V43" i="4"/>
  <c r="V119" i="10" s="1"/>
  <c r="V55" i="22" s="1"/>
  <c r="V69" i="22" s="1"/>
  <c r="V76" i="22" s="1"/>
  <c r="V170" i="10" s="1"/>
  <c r="Y80" i="8"/>
  <c r="X103" i="8"/>
  <c r="P137" i="10"/>
  <c r="P86" i="22"/>
  <c r="P93" i="22" s="1"/>
  <c r="P100" i="22" s="1"/>
  <c r="P180" i="10" s="1"/>
  <c r="Y81" i="8"/>
  <c r="X104" i="8"/>
  <c r="V19" i="8"/>
  <c r="V50" i="8" s="1"/>
  <c r="V51" i="8" s="1"/>
  <c r="V55" i="8"/>
  <c r="Y76" i="4"/>
  <c r="X99" i="4"/>
  <c r="Y80" i="9"/>
  <c r="X103" i="9"/>
  <c r="Y57" i="8"/>
  <c r="Y78" i="8"/>
  <c r="Y16" i="8"/>
  <c r="Z7" i="8"/>
  <c r="Y15" i="8"/>
  <c r="Y17" i="8" s="1"/>
  <c r="Y30" i="8"/>
  <c r="V51" i="13"/>
  <c r="U67" i="13"/>
  <c r="S85" i="22"/>
  <c r="S136" i="10"/>
  <c r="U67" i="18"/>
  <c r="Q103" i="22"/>
  <c r="S73" i="22"/>
  <c r="S80" i="22" s="1"/>
  <c r="S54" i="22"/>
  <c r="U60" i="9"/>
  <c r="U64" i="9"/>
  <c r="U158" i="9"/>
  <c r="U123" i="10"/>
  <c r="W42" i="9"/>
  <c r="V46" i="9"/>
  <c r="T59" i="22"/>
  <c r="T118" i="10"/>
  <c r="T7" i="11" s="1"/>
  <c r="T61" i="9"/>
  <c r="T62" i="9"/>
  <c r="T63" i="9"/>
  <c r="T65" i="9" s="1"/>
  <c r="T133" i="10"/>
  <c r="R174" i="10"/>
  <c r="R169" i="10" s="1"/>
  <c r="R75" i="22"/>
  <c r="R45" i="22" s="1"/>
  <c r="I13" i="15"/>
  <c r="I15" i="15"/>
  <c r="I24" i="15"/>
  <c r="I27" i="15" s="1"/>
  <c r="P10" i="11"/>
  <c r="P146" i="10"/>
  <c r="P135" i="10"/>
  <c r="P153" i="10" s="1"/>
  <c r="P96" i="22"/>
  <c r="P84" i="22"/>
  <c r="V67" i="8" l="1"/>
  <c r="T60" i="18"/>
  <c r="T64" i="18"/>
  <c r="J10" i="15"/>
  <c r="J15" i="15" s="1"/>
  <c r="J37" i="15" s="1"/>
  <c r="Q163" i="10"/>
  <c r="V67" i="18"/>
  <c r="U129" i="10"/>
  <c r="U62" i="4"/>
  <c r="U61" i="4"/>
  <c r="U63" i="4"/>
  <c r="T60" i="8"/>
  <c r="T64" i="8"/>
  <c r="S92" i="22"/>
  <c r="V67" i="13"/>
  <c r="W51" i="13"/>
  <c r="Z81" i="9"/>
  <c r="Y104" i="9"/>
  <c r="Z77" i="4"/>
  <c r="Y100" i="4"/>
  <c r="Z82" i="8"/>
  <c r="Y105" i="8"/>
  <c r="Z81" i="8"/>
  <c r="Y104" i="8"/>
  <c r="X19" i="4"/>
  <c r="X126" i="10"/>
  <c r="Z76" i="4"/>
  <c r="Y99" i="4"/>
  <c r="H88" i="9"/>
  <c r="H111" i="9"/>
  <c r="AL25" i="4"/>
  <c r="AL41" i="4" s="1"/>
  <c r="AK41" i="4"/>
  <c r="Z81" i="18"/>
  <c r="Y104" i="18"/>
  <c r="W19" i="18"/>
  <c r="W55" i="18"/>
  <c r="Z80" i="13"/>
  <c r="Y103" i="13"/>
  <c r="Z79" i="18"/>
  <c r="Y102" i="18"/>
  <c r="I88" i="18"/>
  <c r="I111" i="18"/>
  <c r="W107" i="18"/>
  <c r="U112" i="18"/>
  <c r="U120" i="18"/>
  <c r="V107" i="18"/>
  <c r="X107" i="18"/>
  <c r="Z107" i="18"/>
  <c r="U109" i="18"/>
  <c r="U111" i="18"/>
  <c r="U113" i="18"/>
  <c r="U115" i="18"/>
  <c r="U117" i="18"/>
  <c r="U119" i="18"/>
  <c r="U121" i="18"/>
  <c r="U123" i="18"/>
  <c r="U126" i="18" s="1"/>
  <c r="U58" i="18" s="1"/>
  <c r="U59" i="18" s="1"/>
  <c r="U107" i="18"/>
  <c r="Y107" i="18"/>
  <c r="U108" i="18"/>
  <c r="U110" i="18"/>
  <c r="U114" i="18"/>
  <c r="U116" i="18"/>
  <c r="U118" i="18"/>
  <c r="U122" i="18"/>
  <c r="U124" i="18"/>
  <c r="X107" i="13"/>
  <c r="U109" i="13"/>
  <c r="U115" i="13"/>
  <c r="U123" i="13"/>
  <c r="U107" i="13"/>
  <c r="W107" i="13"/>
  <c r="Y107" i="13"/>
  <c r="U108" i="13"/>
  <c r="U110" i="13"/>
  <c r="U112" i="13"/>
  <c r="U114" i="13"/>
  <c r="U116" i="13"/>
  <c r="U118" i="13"/>
  <c r="U120" i="13"/>
  <c r="U122" i="13"/>
  <c r="U124" i="13"/>
  <c r="U126" i="13" s="1"/>
  <c r="U58" i="13" s="1"/>
  <c r="U59" i="13" s="1"/>
  <c r="V107" i="13"/>
  <c r="Z107" i="13"/>
  <c r="U111" i="13"/>
  <c r="U113" i="13"/>
  <c r="U117" i="13"/>
  <c r="U119" i="13"/>
  <c r="U121" i="13"/>
  <c r="AA7" i="8"/>
  <c r="Z15" i="8"/>
  <c r="Z16" i="8"/>
  <c r="Z30" i="8"/>
  <c r="Z57" i="8"/>
  <c r="Z78" i="8"/>
  <c r="Z79" i="8"/>
  <c r="Y102" i="8"/>
  <c r="X38" i="4"/>
  <c r="W49" i="4"/>
  <c r="W52" i="4" s="1"/>
  <c r="W54" i="4" s="1"/>
  <c r="W21" i="4" s="1"/>
  <c r="W66" i="4" s="1"/>
  <c r="W43" i="4"/>
  <c r="W119" i="10" s="1"/>
  <c r="W55" i="22" s="1"/>
  <c r="W69" i="22" s="1"/>
  <c r="W76" i="22" s="1"/>
  <c r="W170" i="10" s="1"/>
  <c r="Z80" i="9"/>
  <c r="Y103" i="9"/>
  <c r="R89" i="22"/>
  <c r="R96" i="22" s="1"/>
  <c r="R103" i="22" s="1"/>
  <c r="R183" i="10" s="1"/>
  <c r="R140" i="10"/>
  <c r="W50" i="18"/>
  <c r="W51" i="18" s="1"/>
  <c r="U111" i="8"/>
  <c r="U121" i="8"/>
  <c r="U107" i="8"/>
  <c r="W107" i="8"/>
  <c r="Y107" i="8"/>
  <c r="U108" i="8"/>
  <c r="U110" i="8"/>
  <c r="U112" i="8"/>
  <c r="U114" i="8"/>
  <c r="U116" i="8"/>
  <c r="U118" i="8"/>
  <c r="U120" i="8"/>
  <c r="U122" i="8"/>
  <c r="U124" i="8"/>
  <c r="U126" i="8" s="1"/>
  <c r="U58" i="8" s="1"/>
  <c r="U59" i="8" s="1"/>
  <c r="V107" i="8"/>
  <c r="X107" i="8"/>
  <c r="Z107" i="8"/>
  <c r="U109" i="8"/>
  <c r="U113" i="8"/>
  <c r="U115" i="8"/>
  <c r="U117" i="8"/>
  <c r="U119" i="8"/>
  <c r="U123" i="8"/>
  <c r="Z15" i="18"/>
  <c r="Z30" i="18"/>
  <c r="Z16" i="18"/>
  <c r="AA7" i="18"/>
  <c r="Z57" i="18"/>
  <c r="Z78" i="18"/>
  <c r="X19" i="18"/>
  <c r="X55" i="18"/>
  <c r="Z80" i="18"/>
  <c r="Y103" i="18"/>
  <c r="I88" i="8"/>
  <c r="I111" i="8"/>
  <c r="Y46" i="18"/>
  <c r="Y121" i="10" s="1"/>
  <c r="Y57" i="22" s="1"/>
  <c r="Y71" i="22" s="1"/>
  <c r="Y78" i="22" s="1"/>
  <c r="Y172" i="10" s="1"/>
  <c r="Z42" i="18"/>
  <c r="Z82" i="18"/>
  <c r="Y105" i="18"/>
  <c r="T126" i="13"/>
  <c r="T58" i="13" s="1"/>
  <c r="T59" i="13" s="1"/>
  <c r="X18" i="8"/>
  <c r="X28" i="8"/>
  <c r="Z80" i="8"/>
  <c r="Y103" i="8"/>
  <c r="H88" i="13"/>
  <c r="H111" i="13"/>
  <c r="Q139" i="10"/>
  <c r="Q88" i="22"/>
  <c r="Q95" i="22" s="1"/>
  <c r="Q102" i="22" s="1"/>
  <c r="Q182" i="10" s="1"/>
  <c r="X19" i="9"/>
  <c r="X55" i="9"/>
  <c r="AA7" i="9"/>
  <c r="Z16" i="9"/>
  <c r="Z78" i="9"/>
  <c r="Z15" i="9"/>
  <c r="Z17" i="9" s="1"/>
  <c r="Z30" i="9"/>
  <c r="Z57" i="9"/>
  <c r="Z79" i="4"/>
  <c r="Y102" i="4"/>
  <c r="AA42" i="8"/>
  <c r="Z46" i="8"/>
  <c r="Z120" i="10" s="1"/>
  <c r="Z56" i="22" s="1"/>
  <c r="Z70" i="22" s="1"/>
  <c r="Z77" i="22" s="1"/>
  <c r="Z171" i="10" s="1"/>
  <c r="Z75" i="4"/>
  <c r="Y98" i="4"/>
  <c r="Y17" i="4"/>
  <c r="Y18" i="4" s="1"/>
  <c r="R62" i="18"/>
  <c r="R131" i="10"/>
  <c r="R61" i="18"/>
  <c r="R63" i="18"/>
  <c r="R65" i="18" s="1"/>
  <c r="R157" i="10" s="1"/>
  <c r="Z82" i="13"/>
  <c r="Y105" i="13"/>
  <c r="Z68" i="22"/>
  <c r="Z82" i="22"/>
  <c r="R92" i="22"/>
  <c r="Z82" i="9"/>
  <c r="Y105" i="9"/>
  <c r="Z81" i="13"/>
  <c r="Y104" i="13"/>
  <c r="Z79" i="13"/>
  <c r="Y102" i="13"/>
  <c r="Y17" i="13"/>
  <c r="T129" i="10"/>
  <c r="T62" i="4"/>
  <c r="T61" i="4"/>
  <c r="T63" i="4"/>
  <c r="V111" i="9"/>
  <c r="V119" i="9"/>
  <c r="V108" i="9"/>
  <c r="X108" i="9"/>
  <c r="Z108" i="9"/>
  <c r="V110" i="9"/>
  <c r="V112" i="9"/>
  <c r="V114" i="9"/>
  <c r="V116" i="9"/>
  <c r="V118" i="9"/>
  <c r="V120" i="9"/>
  <c r="V122" i="9"/>
  <c r="V124" i="9"/>
  <c r="W108" i="9"/>
  <c r="Y108" i="9"/>
  <c r="V109" i="9"/>
  <c r="V113" i="9"/>
  <c r="V115" i="9"/>
  <c r="V117" i="9"/>
  <c r="V121" i="9"/>
  <c r="V123" i="9"/>
  <c r="S64" i="8"/>
  <c r="S60" i="8"/>
  <c r="Q93" i="22"/>
  <c r="Q84" i="22"/>
  <c r="S61" i="18"/>
  <c r="S62" i="18"/>
  <c r="S131" i="10"/>
  <c r="S63" i="18"/>
  <c r="S65" i="18" s="1"/>
  <c r="J13" i="15"/>
  <c r="Y18" i="8"/>
  <c r="Y28" i="8"/>
  <c r="V104" i="4"/>
  <c r="V122" i="4" s="1"/>
  <c r="V57" i="4" s="1"/>
  <c r="V58" i="4" s="1"/>
  <c r="V59" i="4" s="1"/>
  <c r="V60" i="4" s="1"/>
  <c r="X104" i="4"/>
  <c r="Z104" i="4"/>
  <c r="V106" i="4"/>
  <c r="V108" i="4"/>
  <c r="V110" i="4"/>
  <c r="V112" i="4"/>
  <c r="V114" i="4"/>
  <c r="V116" i="4"/>
  <c r="V118" i="4"/>
  <c r="V120" i="4"/>
  <c r="W104" i="4"/>
  <c r="Y104" i="4"/>
  <c r="V105" i="4"/>
  <c r="V107" i="4"/>
  <c r="V109" i="4"/>
  <c r="V111" i="4"/>
  <c r="V113" i="4"/>
  <c r="V115" i="4"/>
  <c r="V117" i="4"/>
  <c r="V119" i="4"/>
  <c r="Z83" i="9"/>
  <c r="Y106" i="9"/>
  <c r="W110" i="9"/>
  <c r="W116" i="9"/>
  <c r="W124" i="9"/>
  <c r="X109" i="9"/>
  <c r="Z109" i="9"/>
  <c r="W111" i="9"/>
  <c r="W113" i="9"/>
  <c r="W115" i="9"/>
  <c r="W117" i="9"/>
  <c r="W119" i="9"/>
  <c r="W121" i="9"/>
  <c r="W123" i="9"/>
  <c r="W109" i="9"/>
  <c r="Y109" i="9"/>
  <c r="AA109" i="9"/>
  <c r="W112" i="9"/>
  <c r="W114" i="9"/>
  <c r="W118" i="9"/>
  <c r="W120" i="9"/>
  <c r="W122" i="9"/>
  <c r="Y18" i="18"/>
  <c r="Y28" i="18"/>
  <c r="X50" i="18"/>
  <c r="R86" i="22"/>
  <c r="R93" i="22" s="1"/>
  <c r="R100" i="22" s="1"/>
  <c r="R137" i="10"/>
  <c r="S89" i="22"/>
  <c r="S96" i="22" s="1"/>
  <c r="S103" i="22" s="1"/>
  <c r="S183" i="10" s="1"/>
  <c r="S140" i="10"/>
  <c r="R88" i="22"/>
  <c r="R95" i="22" s="1"/>
  <c r="R102" i="22" s="1"/>
  <c r="R182" i="10" s="1"/>
  <c r="R139" i="10"/>
  <c r="W19" i="8"/>
  <c r="W50" i="8" s="1"/>
  <c r="W51" i="8" s="1"/>
  <c r="W55" i="8"/>
  <c r="Z79" i="9"/>
  <c r="Y102" i="9"/>
  <c r="Y18" i="9"/>
  <c r="Y28" i="9"/>
  <c r="AA7" i="4"/>
  <c r="Z15" i="4"/>
  <c r="Z17" i="4" s="1"/>
  <c r="Z18" i="4" s="1"/>
  <c r="Z16" i="4"/>
  <c r="Z24" i="4"/>
  <c r="Z20" i="4"/>
  <c r="Z56" i="4"/>
  <c r="Z74" i="4"/>
  <c r="T9" i="15"/>
  <c r="AA43" i="22"/>
  <c r="AA161" i="10"/>
  <c r="AB115" i="10"/>
  <c r="AA148" i="10"/>
  <c r="AA167" i="10" s="1"/>
  <c r="X18" i="13"/>
  <c r="X28" i="13"/>
  <c r="AA7" i="13"/>
  <c r="Z16" i="13"/>
  <c r="Z57" i="13"/>
  <c r="Z78" i="13"/>
  <c r="Z15" i="13"/>
  <c r="Z17" i="13" s="1"/>
  <c r="Z30" i="13"/>
  <c r="Y42" i="13"/>
  <c r="X46" i="13"/>
  <c r="X122" i="10" s="1"/>
  <c r="X58" i="22" s="1"/>
  <c r="X72" i="22" s="1"/>
  <c r="X79" i="22" s="1"/>
  <c r="X173" i="10" s="1"/>
  <c r="Z78" i="4"/>
  <c r="Y101" i="4"/>
  <c r="S64" i="13"/>
  <c r="S60" i="13"/>
  <c r="H84" i="4"/>
  <c r="H107" i="4"/>
  <c r="Q128" i="10"/>
  <c r="Q135" i="10"/>
  <c r="Q150" i="10"/>
  <c r="P103" i="22"/>
  <c r="P91" i="22"/>
  <c r="P150" i="10"/>
  <c r="P152" i="10"/>
  <c r="P151" i="10"/>
  <c r="P142" i="10"/>
  <c r="P144" i="10" s="1"/>
  <c r="P149" i="10"/>
  <c r="I30" i="15"/>
  <c r="I34" i="15" s="1"/>
  <c r="I33" i="15"/>
  <c r="J24" i="15"/>
  <c r="K24" i="15"/>
  <c r="L24" i="15"/>
  <c r="M24" i="15"/>
  <c r="N24" i="15"/>
  <c r="O24" i="15"/>
  <c r="P24" i="15"/>
  <c r="Q24" i="15"/>
  <c r="R24" i="15"/>
  <c r="S24" i="15"/>
  <c r="I25" i="15"/>
  <c r="I42" i="15" s="1"/>
  <c r="I41" i="15"/>
  <c r="I17" i="15"/>
  <c r="I37" i="15"/>
  <c r="T89" i="22"/>
  <c r="T96" i="22" s="1"/>
  <c r="T103" i="22" s="1"/>
  <c r="T183" i="10" s="1"/>
  <c r="T140" i="10"/>
  <c r="T73" i="22"/>
  <c r="T80" i="22" s="1"/>
  <c r="T54" i="22"/>
  <c r="V158" i="9"/>
  <c r="V123" i="10"/>
  <c r="X42" i="9"/>
  <c r="W46" i="9"/>
  <c r="U59" i="22"/>
  <c r="U118" i="10"/>
  <c r="U7" i="11" s="1"/>
  <c r="U61" i="9"/>
  <c r="U62" i="9"/>
  <c r="U63" i="9"/>
  <c r="U65" i="9" s="1"/>
  <c r="U133" i="10"/>
  <c r="S174" i="10"/>
  <c r="S169" i="10" s="1"/>
  <c r="S75" i="22"/>
  <c r="S45" i="22" s="1"/>
  <c r="Q183" i="10"/>
  <c r="R180" i="10"/>
  <c r="W67" i="8" l="1"/>
  <c r="R163" i="10"/>
  <c r="K10" i="15"/>
  <c r="K15" i="15" s="1"/>
  <c r="K37" i="15" s="1"/>
  <c r="U64" i="13"/>
  <c r="U60" i="13"/>
  <c r="V129" i="10"/>
  <c r="V62" i="4"/>
  <c r="V61" i="4"/>
  <c r="V63" i="4"/>
  <c r="U64" i="8"/>
  <c r="U60" i="8"/>
  <c r="W67" i="18"/>
  <c r="X51" i="18"/>
  <c r="U60" i="18"/>
  <c r="U64" i="18"/>
  <c r="Q149" i="10"/>
  <c r="Q142" i="10"/>
  <c r="Q144" i="10" s="1"/>
  <c r="Q153" i="10"/>
  <c r="S61" i="13"/>
  <c r="S62" i="13"/>
  <c r="S132" i="10"/>
  <c r="S63" i="13"/>
  <c r="S65" i="13" s="1"/>
  <c r="AA79" i="13"/>
  <c r="Z102" i="13"/>
  <c r="U9" i="15"/>
  <c r="AB43" i="22"/>
  <c r="AC115" i="10"/>
  <c r="AB148" i="10"/>
  <c r="AB167" i="10" s="1"/>
  <c r="AB161" i="10"/>
  <c r="AA68" i="22"/>
  <c r="AA82" i="22"/>
  <c r="AA75" i="4"/>
  <c r="Z98" i="4"/>
  <c r="AB7" i="4"/>
  <c r="AA15" i="4"/>
  <c r="AA16" i="4"/>
  <c r="AA20" i="4"/>
  <c r="AA56" i="4"/>
  <c r="AA74" i="4"/>
  <c r="AA24" i="4"/>
  <c r="Y19" i="9"/>
  <c r="Y55" i="9"/>
  <c r="Y50" i="9" s="1"/>
  <c r="Y51" i="9" s="1"/>
  <c r="Y67" i="9" s="1"/>
  <c r="AA80" i="9"/>
  <c r="Z103" i="9"/>
  <c r="Y19" i="18"/>
  <c r="Y55" i="18"/>
  <c r="Q151" i="10"/>
  <c r="V126" i="9"/>
  <c r="V58" i="9" s="1"/>
  <c r="V59" i="9" s="1"/>
  <c r="Y18" i="13"/>
  <c r="Y28" i="13"/>
  <c r="AA80" i="13"/>
  <c r="Z103" i="13"/>
  <c r="AA82" i="13"/>
  <c r="Z105" i="13"/>
  <c r="AA83" i="9"/>
  <c r="Z106" i="9"/>
  <c r="R99" i="22"/>
  <c r="AA83" i="13"/>
  <c r="Z106" i="13"/>
  <c r="Z18" i="9"/>
  <c r="Z28" i="9"/>
  <c r="X50" i="9"/>
  <c r="X51" i="9" s="1"/>
  <c r="X67" i="9" s="1"/>
  <c r="T60" i="13"/>
  <c r="T64" i="13"/>
  <c r="AA83" i="18"/>
  <c r="Z106" i="18"/>
  <c r="I89" i="8"/>
  <c r="I112" i="8"/>
  <c r="AA81" i="18"/>
  <c r="Z104" i="18"/>
  <c r="Z17" i="18"/>
  <c r="AA81" i="9"/>
  <c r="Z104" i="9"/>
  <c r="X105" i="4"/>
  <c r="Z105" i="4"/>
  <c r="W107" i="4"/>
  <c r="W109" i="4"/>
  <c r="W111" i="4"/>
  <c r="W113" i="4"/>
  <c r="W115" i="4"/>
  <c r="W117" i="4"/>
  <c r="W119" i="4"/>
  <c r="W105" i="4"/>
  <c r="W122" i="4" s="1"/>
  <c r="W57" i="4" s="1"/>
  <c r="W58" i="4" s="1"/>
  <c r="W59" i="4" s="1"/>
  <c r="W60" i="4" s="1"/>
  <c r="Y105" i="4"/>
  <c r="AA105" i="4"/>
  <c r="W106" i="4"/>
  <c r="W108" i="4"/>
  <c r="W110" i="4"/>
  <c r="W112" i="4"/>
  <c r="W114" i="4"/>
  <c r="W116" i="4"/>
  <c r="W118" i="4"/>
  <c r="W120" i="4"/>
  <c r="AA79" i="8"/>
  <c r="Z102" i="8"/>
  <c r="Z17" i="8"/>
  <c r="W67" i="13"/>
  <c r="T61" i="18"/>
  <c r="T63" i="18"/>
  <c r="T65" i="18" s="1"/>
  <c r="T62" i="18"/>
  <c r="T131" i="10"/>
  <c r="Q10" i="11"/>
  <c r="Q146" i="10"/>
  <c r="H85" i="4"/>
  <c r="H108" i="4"/>
  <c r="AA79" i="4"/>
  <c r="Z102" i="4"/>
  <c r="Z42" i="13"/>
  <c r="Y46" i="13"/>
  <c r="Y122" i="10" s="1"/>
  <c r="Y58" i="22" s="1"/>
  <c r="Y72" i="22" s="1"/>
  <c r="Y79" i="22" s="1"/>
  <c r="Y173" i="10" s="1"/>
  <c r="Z18" i="13"/>
  <c r="Z28" i="13"/>
  <c r="AB7" i="13"/>
  <c r="AA15" i="13"/>
  <c r="AA16" i="13"/>
  <c r="AA30" i="13"/>
  <c r="AA78" i="13"/>
  <c r="AA57" i="13"/>
  <c r="X19" i="13"/>
  <c r="X50" i="13" s="1"/>
  <c r="X51" i="13" s="1"/>
  <c r="X55" i="13"/>
  <c r="Z19" i="4"/>
  <c r="Z126" i="10"/>
  <c r="Y50" i="18"/>
  <c r="AA84" i="9"/>
  <c r="Z107" i="9"/>
  <c r="Y19" i="8"/>
  <c r="Y50" i="8" s="1"/>
  <c r="Y55" i="8"/>
  <c r="K13" i="15"/>
  <c r="S138" i="10"/>
  <c r="S87" i="22"/>
  <c r="S94" i="22" s="1"/>
  <c r="S101" i="22" s="1"/>
  <c r="S181" i="10" s="1"/>
  <c r="Q100" i="22"/>
  <c r="Q91" i="22"/>
  <c r="S63" i="8"/>
  <c r="S65" i="8" s="1"/>
  <c r="S157" i="10" s="1"/>
  <c r="S62" i="8"/>
  <c r="S130" i="10"/>
  <c r="S61" i="8"/>
  <c r="W126" i="9"/>
  <c r="W58" i="9" s="1"/>
  <c r="W59" i="9" s="1"/>
  <c r="T85" i="22"/>
  <c r="T136" i="10"/>
  <c r="R84" i="22"/>
  <c r="R87" i="22"/>
  <c r="R94" i="22" s="1"/>
  <c r="R101" i="22" s="1"/>
  <c r="R181" i="10" s="1"/>
  <c r="R138" i="10"/>
  <c r="Y126" i="10"/>
  <c r="Y19" i="4"/>
  <c r="AA76" i="4"/>
  <c r="Z99" i="4"/>
  <c r="AA46" i="8"/>
  <c r="AA120" i="10" s="1"/>
  <c r="AA56" i="22" s="1"/>
  <c r="AA70" i="22" s="1"/>
  <c r="AA77" i="22" s="1"/>
  <c r="AA171" i="10" s="1"/>
  <c r="AB42" i="8"/>
  <c r="AA80" i="4"/>
  <c r="Z103" i="4"/>
  <c r="AA79" i="9"/>
  <c r="Z102" i="9"/>
  <c r="AB7" i="9"/>
  <c r="AA15" i="9"/>
  <c r="AA16" i="9"/>
  <c r="AA30" i="9"/>
  <c r="AA57" i="9"/>
  <c r="AA78" i="9"/>
  <c r="Q152" i="10"/>
  <c r="H112" i="13"/>
  <c r="H89" i="13"/>
  <c r="AA81" i="8"/>
  <c r="Z104" i="8"/>
  <c r="X19" i="8"/>
  <c r="X50" i="8" s="1"/>
  <c r="X51" i="8" s="1"/>
  <c r="X55" i="8"/>
  <c r="AA42" i="18"/>
  <c r="Z46" i="18"/>
  <c r="Z121" i="10" s="1"/>
  <c r="Z57" i="22" s="1"/>
  <c r="Z71" i="22" s="1"/>
  <c r="Z78" i="22" s="1"/>
  <c r="Z172" i="10" s="1"/>
  <c r="AA79" i="18"/>
  <c r="Z102" i="18"/>
  <c r="AB7" i="18"/>
  <c r="AA15" i="18"/>
  <c r="AA17" i="18" s="1"/>
  <c r="AA16" i="18"/>
  <c r="AA30" i="18"/>
  <c r="AA57" i="18"/>
  <c r="AA78" i="18"/>
  <c r="Y38" i="4"/>
  <c r="X49" i="4"/>
  <c r="X52" i="4" s="1"/>
  <c r="X54" i="4" s="1"/>
  <c r="X21" i="4" s="1"/>
  <c r="X66" i="4" s="1"/>
  <c r="X43" i="4"/>
  <c r="X119" i="10" s="1"/>
  <c r="X55" i="22" s="1"/>
  <c r="X69" i="22" s="1"/>
  <c r="X76" i="22" s="1"/>
  <c r="X170" i="10" s="1"/>
  <c r="AA80" i="8"/>
  <c r="Z103" i="8"/>
  <c r="AA57" i="8"/>
  <c r="AA78" i="8"/>
  <c r="AB7" i="8"/>
  <c r="AA15" i="8"/>
  <c r="AA30" i="8"/>
  <c r="AA16" i="8"/>
  <c r="I89" i="18"/>
  <c r="I112" i="18"/>
  <c r="AA80" i="18"/>
  <c r="Z103" i="18"/>
  <c r="AA81" i="13"/>
  <c r="Z104" i="13"/>
  <c r="AA82" i="18"/>
  <c r="Z105" i="18"/>
  <c r="H89" i="9"/>
  <c r="H112" i="9"/>
  <c r="AA77" i="4"/>
  <c r="Z100" i="4"/>
  <c r="AA82" i="8"/>
  <c r="Z105" i="8"/>
  <c r="AA83" i="8"/>
  <c r="Z106" i="8"/>
  <c r="AA78" i="4"/>
  <c r="Z101" i="4"/>
  <c r="AA82" i="9"/>
  <c r="Z105" i="9"/>
  <c r="W108" i="13"/>
  <c r="Y108" i="13"/>
  <c r="AA108" i="13"/>
  <c r="V109" i="13"/>
  <c r="V111" i="13"/>
  <c r="V113" i="13"/>
  <c r="V115" i="13"/>
  <c r="V117" i="13"/>
  <c r="V119" i="13"/>
  <c r="V121" i="13"/>
  <c r="V123" i="13"/>
  <c r="V108" i="13"/>
  <c r="X108" i="13"/>
  <c r="Z108" i="13"/>
  <c r="V110" i="13"/>
  <c r="V112" i="13"/>
  <c r="V114" i="13"/>
  <c r="V116" i="13"/>
  <c r="V118" i="13"/>
  <c r="V120" i="13"/>
  <c r="V122" i="13"/>
  <c r="V124" i="13"/>
  <c r="S99" i="22"/>
  <c r="T61" i="8"/>
  <c r="T63" i="8"/>
  <c r="T65" i="8" s="1"/>
  <c r="T62" i="8"/>
  <c r="T130" i="10"/>
  <c r="U85" i="22"/>
  <c r="U92" i="22" s="1"/>
  <c r="U99" i="22" s="1"/>
  <c r="U179" i="10" s="1"/>
  <c r="U136" i="10"/>
  <c r="R128" i="10"/>
  <c r="V108" i="18"/>
  <c r="X108" i="18"/>
  <c r="Z108" i="18"/>
  <c r="V110" i="18"/>
  <c r="V112" i="18"/>
  <c r="V114" i="18"/>
  <c r="V116" i="18"/>
  <c r="V118" i="18"/>
  <c r="V120" i="18"/>
  <c r="V122" i="18"/>
  <c r="V124" i="18"/>
  <c r="W108" i="18"/>
  <c r="Y108" i="18"/>
  <c r="AA108" i="18"/>
  <c r="V109" i="18"/>
  <c r="V111" i="18"/>
  <c r="V113" i="18"/>
  <c r="V115" i="18"/>
  <c r="V117" i="18"/>
  <c r="V119" i="18"/>
  <c r="V121" i="18"/>
  <c r="V123" i="18"/>
  <c r="V112" i="8"/>
  <c r="W108" i="8"/>
  <c r="Y108" i="8"/>
  <c r="AA108" i="8"/>
  <c r="V109" i="8"/>
  <c r="V111" i="8"/>
  <c r="V113" i="8"/>
  <c r="V115" i="8"/>
  <c r="V117" i="8"/>
  <c r="V119" i="8"/>
  <c r="V121" i="8"/>
  <c r="V123" i="8"/>
  <c r="V108" i="8"/>
  <c r="X108" i="8"/>
  <c r="Z108" i="8"/>
  <c r="V110" i="8"/>
  <c r="V114" i="8"/>
  <c r="V116" i="8"/>
  <c r="V118" i="8"/>
  <c r="V120" i="8"/>
  <c r="V122" i="8"/>
  <c r="V124" i="8"/>
  <c r="V126" i="8" s="1"/>
  <c r="V58" i="8" s="1"/>
  <c r="V59" i="8" s="1"/>
  <c r="U89" i="22"/>
  <c r="U140" i="10"/>
  <c r="U73" i="22"/>
  <c r="U80" i="22" s="1"/>
  <c r="U54" i="22"/>
  <c r="W60" i="9"/>
  <c r="W64" i="9"/>
  <c r="W158" i="9"/>
  <c r="W123" i="10"/>
  <c r="Y42" i="9"/>
  <c r="X46" i="9"/>
  <c r="V59" i="22"/>
  <c r="V118" i="10"/>
  <c r="V7" i="11" s="1"/>
  <c r="T174" i="10"/>
  <c r="T169" i="10" s="1"/>
  <c r="T75" i="22"/>
  <c r="T45" i="22" s="1"/>
  <c r="I38" i="15"/>
  <c r="J17" i="15"/>
  <c r="K41" i="15"/>
  <c r="K27" i="15"/>
  <c r="J25" i="15"/>
  <c r="J42" i="15" s="1"/>
  <c r="J41" i="15"/>
  <c r="J27" i="15"/>
  <c r="P183" i="10"/>
  <c r="P178" i="10" s="1"/>
  <c r="P98" i="22"/>
  <c r="P48" i="22" s="1"/>
  <c r="I44" i="15"/>
  <c r="I45" i="15"/>
  <c r="Y51" i="8" l="1"/>
  <c r="X67" i="8"/>
  <c r="W129" i="10"/>
  <c r="W62" i="4"/>
  <c r="W61" i="4"/>
  <c r="W63" i="4"/>
  <c r="X67" i="13"/>
  <c r="R10" i="11"/>
  <c r="R146" i="10"/>
  <c r="S179" i="10"/>
  <c r="AB83" i="18"/>
  <c r="AA106" i="18"/>
  <c r="AB82" i="13"/>
  <c r="AA105" i="13"/>
  <c r="I90" i="18"/>
  <c r="I113" i="18"/>
  <c r="X106" i="4"/>
  <c r="Z106" i="4"/>
  <c r="AB106" i="4"/>
  <c r="X108" i="4"/>
  <c r="X110" i="4"/>
  <c r="X112" i="4"/>
  <c r="X114" i="4"/>
  <c r="X116" i="4"/>
  <c r="X118" i="4"/>
  <c r="X120" i="4"/>
  <c r="X122" i="4" s="1"/>
  <c r="X57" i="4" s="1"/>
  <c r="X58" i="4" s="1"/>
  <c r="X59" i="4" s="1"/>
  <c r="X60" i="4" s="1"/>
  <c r="Y106" i="4"/>
  <c r="AA106" i="4"/>
  <c r="X107" i="4"/>
  <c r="X109" i="4"/>
  <c r="X111" i="4"/>
  <c r="X113" i="4"/>
  <c r="X115" i="4"/>
  <c r="X117" i="4"/>
  <c r="X119" i="4"/>
  <c r="AB79" i="18"/>
  <c r="AA102" i="18"/>
  <c r="AB80" i="9"/>
  <c r="AA103" i="9"/>
  <c r="AB81" i="4"/>
  <c r="AA104" i="4"/>
  <c r="V126" i="18"/>
  <c r="V58" i="18" s="1"/>
  <c r="V59" i="18" s="1"/>
  <c r="T86" i="22"/>
  <c r="T93" i="22" s="1"/>
  <c r="T100" i="22" s="1"/>
  <c r="T137" i="10"/>
  <c r="V126" i="13"/>
  <c r="V58" i="13" s="1"/>
  <c r="V59" i="13" s="1"/>
  <c r="AB83" i="9"/>
  <c r="AA106" i="9"/>
  <c r="AB79" i="4"/>
  <c r="AA102" i="4"/>
  <c r="AB84" i="8"/>
  <c r="AA107" i="8"/>
  <c r="AB83" i="8"/>
  <c r="AA106" i="8"/>
  <c r="AB78" i="4"/>
  <c r="AA101" i="4"/>
  <c r="H90" i="9"/>
  <c r="H113" i="9"/>
  <c r="AA17" i="8"/>
  <c r="AB79" i="8"/>
  <c r="AA102" i="8"/>
  <c r="Z38" i="4"/>
  <c r="Y49" i="4"/>
  <c r="Y52" i="4" s="1"/>
  <c r="Y54" i="4" s="1"/>
  <c r="Y21" i="4" s="1"/>
  <c r="Y66" i="4" s="1"/>
  <c r="Y43" i="4"/>
  <c r="Y119" i="10" s="1"/>
  <c r="Y55" i="22" s="1"/>
  <c r="Y69" i="22" s="1"/>
  <c r="Y76" i="22" s="1"/>
  <c r="Y170" i="10" s="1"/>
  <c r="AC7" i="18"/>
  <c r="AB16" i="18"/>
  <c r="AB30" i="18"/>
  <c r="AB57" i="18"/>
  <c r="AB78" i="18"/>
  <c r="AB15" i="18"/>
  <c r="AB17" i="18" s="1"/>
  <c r="AB80" i="18"/>
  <c r="AA103" i="18"/>
  <c r="AB42" i="18"/>
  <c r="AA46" i="18"/>
  <c r="AA121" i="10" s="1"/>
  <c r="AA57" i="22" s="1"/>
  <c r="AA71" i="22" s="1"/>
  <c r="AA78" i="22" s="1"/>
  <c r="AA172" i="10" s="1"/>
  <c r="AB82" i="8"/>
  <c r="AA105" i="8"/>
  <c r="AB79" i="9"/>
  <c r="AA102" i="9"/>
  <c r="AA17" i="9"/>
  <c r="AC42" i="8"/>
  <c r="AB46" i="8"/>
  <c r="G135" i="8"/>
  <c r="R135" i="10"/>
  <c r="R151" i="10" s="1"/>
  <c r="S86" i="22"/>
  <c r="S137" i="10"/>
  <c r="S128" i="10"/>
  <c r="S163" i="10"/>
  <c r="L10" i="15"/>
  <c r="Q180" i="10"/>
  <c r="Q178" i="10" s="1"/>
  <c r="Q98" i="22"/>
  <c r="Q48" i="22" s="1"/>
  <c r="AA17" i="13"/>
  <c r="T138" i="10"/>
  <c r="T87" i="22"/>
  <c r="T94" i="22" s="1"/>
  <c r="T101" i="22" s="1"/>
  <c r="T181" i="10" s="1"/>
  <c r="W109" i="13"/>
  <c r="W110" i="13"/>
  <c r="W118" i="13"/>
  <c r="X109" i="13"/>
  <c r="Z109" i="13"/>
  <c r="AB109" i="13"/>
  <c r="W111" i="13"/>
  <c r="W113" i="13"/>
  <c r="W115" i="13"/>
  <c r="W117" i="13"/>
  <c r="W119" i="13"/>
  <c r="W121" i="13"/>
  <c r="W123" i="13"/>
  <c r="Y109" i="13"/>
  <c r="AA109" i="13"/>
  <c r="W112" i="13"/>
  <c r="W114" i="13"/>
  <c r="W116" i="13"/>
  <c r="W120" i="13"/>
  <c r="W122" i="13"/>
  <c r="W124" i="13"/>
  <c r="AB82" i="9"/>
  <c r="AA105" i="9"/>
  <c r="Z18" i="18"/>
  <c r="Z28" i="18"/>
  <c r="AB82" i="18"/>
  <c r="AA105" i="18"/>
  <c r="I90" i="8"/>
  <c r="I113" i="8"/>
  <c r="AB84" i="18"/>
  <c r="AA107" i="18"/>
  <c r="T61" i="13"/>
  <c r="T63" i="13"/>
  <c r="T65" i="13" s="1"/>
  <c r="T157" i="10" s="1"/>
  <c r="T62" i="13"/>
  <c r="T132" i="10"/>
  <c r="X113" i="9"/>
  <c r="X121" i="9"/>
  <c r="X110" i="9"/>
  <c r="Z110" i="9"/>
  <c r="AB110" i="9"/>
  <c r="X112" i="9"/>
  <c r="X114" i="9"/>
  <c r="X116" i="9"/>
  <c r="X118" i="9"/>
  <c r="X120" i="9"/>
  <c r="X122" i="9"/>
  <c r="X124" i="9"/>
  <c r="Y110" i="9"/>
  <c r="AA110" i="9"/>
  <c r="X111" i="9"/>
  <c r="X115" i="9"/>
  <c r="X117" i="9"/>
  <c r="X119" i="9"/>
  <c r="X123" i="9"/>
  <c r="Z19" i="9"/>
  <c r="Z55" i="9"/>
  <c r="R91" i="22"/>
  <c r="V64" i="9"/>
  <c r="V60" i="9"/>
  <c r="AB81" i="9"/>
  <c r="AA104" i="9"/>
  <c r="AB75" i="4"/>
  <c r="AA98" i="4"/>
  <c r="AA17" i="4"/>
  <c r="AA18" i="4" s="1"/>
  <c r="V9" i="15"/>
  <c r="AC43" i="22"/>
  <c r="AD115" i="10"/>
  <c r="AC161" i="10"/>
  <c r="AC148" i="10"/>
  <c r="AC167" i="10" s="1"/>
  <c r="Y51" i="18"/>
  <c r="X67" i="18"/>
  <c r="U130" i="10"/>
  <c r="U61" i="8"/>
  <c r="U63" i="8"/>
  <c r="U65" i="8" s="1"/>
  <c r="U62" i="8"/>
  <c r="U132" i="10"/>
  <c r="U61" i="13"/>
  <c r="U63" i="13"/>
  <c r="U65" i="13" s="1"/>
  <c r="U62" i="13"/>
  <c r="AA109" i="8"/>
  <c r="W114" i="8"/>
  <c r="W122" i="8"/>
  <c r="X109" i="8"/>
  <c r="Z109" i="8"/>
  <c r="AB109" i="8"/>
  <c r="W111" i="8"/>
  <c r="W113" i="8"/>
  <c r="W115" i="8"/>
  <c r="W117" i="8"/>
  <c r="W119" i="8"/>
  <c r="W121" i="8"/>
  <c r="W123" i="8"/>
  <c r="W109" i="8"/>
  <c r="Y109" i="8"/>
  <c r="W110" i="8"/>
  <c r="W112" i="8"/>
  <c r="W116" i="8"/>
  <c r="W118" i="8"/>
  <c r="W120" i="8"/>
  <c r="W124" i="8"/>
  <c r="V60" i="8"/>
  <c r="V64" i="8"/>
  <c r="AB81" i="18"/>
  <c r="AA104" i="18"/>
  <c r="AC7" i="8"/>
  <c r="AB15" i="8"/>
  <c r="AB16" i="8"/>
  <c r="AB30" i="8"/>
  <c r="AB57" i="8"/>
  <c r="AB78" i="8"/>
  <c r="AB81" i="8"/>
  <c r="AA104" i="8"/>
  <c r="AA18" i="18"/>
  <c r="AA28" i="18"/>
  <c r="H113" i="13"/>
  <c r="H90" i="13"/>
  <c r="AB15" i="9"/>
  <c r="AB17" i="9" s="1"/>
  <c r="AB78" i="9"/>
  <c r="AC7" i="9"/>
  <c r="AB16" i="9"/>
  <c r="AB30" i="9"/>
  <c r="AB57" i="9"/>
  <c r="AB77" i="4"/>
  <c r="AA100" i="4"/>
  <c r="T128" i="10"/>
  <c r="T92" i="22"/>
  <c r="L13" i="15"/>
  <c r="AB85" i="9"/>
  <c r="AA108" i="9"/>
  <c r="AB79" i="13"/>
  <c r="AA102" i="13"/>
  <c r="AB15" i="13"/>
  <c r="AB17" i="13" s="1"/>
  <c r="AB30" i="13"/>
  <c r="AB57" i="13"/>
  <c r="AB78" i="13"/>
  <c r="AC7" i="13"/>
  <c r="AB16" i="13"/>
  <c r="Z19" i="13"/>
  <c r="Z50" i="13" s="1"/>
  <c r="Z55" i="13"/>
  <c r="AA42" i="13"/>
  <c r="Z46" i="13"/>
  <c r="Z122" i="10" s="1"/>
  <c r="Z58" i="22" s="1"/>
  <c r="Z72" i="22" s="1"/>
  <c r="Z79" i="22" s="1"/>
  <c r="Z173" i="10" s="1"/>
  <c r="AB80" i="4"/>
  <c r="AA103" i="4"/>
  <c r="H86" i="4"/>
  <c r="H109" i="4"/>
  <c r="Z18" i="8"/>
  <c r="Z28" i="8"/>
  <c r="AB80" i="8"/>
  <c r="AA103" i="8"/>
  <c r="AB84" i="13"/>
  <c r="AA107" i="13"/>
  <c r="R179" i="10"/>
  <c r="R178" i="10" s="1"/>
  <c r="R98" i="22"/>
  <c r="R48" i="22" s="1"/>
  <c r="AB84" i="9"/>
  <c r="AA107" i="9"/>
  <c r="AB83" i="13"/>
  <c r="AA106" i="13"/>
  <c r="AB81" i="13"/>
  <c r="AA104" i="13"/>
  <c r="Y19" i="13"/>
  <c r="Y50" i="13" s="1"/>
  <c r="Y51" i="13" s="1"/>
  <c r="Y55" i="13"/>
  <c r="AC111" i="9"/>
  <c r="Y116" i="9"/>
  <c r="Y124" i="9"/>
  <c r="Z111" i="9"/>
  <c r="AB111" i="9"/>
  <c r="Y113" i="9"/>
  <c r="Y115" i="9"/>
  <c r="Y117" i="9"/>
  <c r="Y119" i="9"/>
  <c r="Y121" i="9"/>
  <c r="Y123" i="9"/>
  <c r="Y111" i="9"/>
  <c r="AA111" i="9"/>
  <c r="Y112" i="9"/>
  <c r="Y114" i="9"/>
  <c r="Y118" i="9"/>
  <c r="Y120" i="9"/>
  <c r="Y122" i="9"/>
  <c r="AC7" i="4"/>
  <c r="AB15" i="4"/>
  <c r="AB17" i="4" s="1"/>
  <c r="AB18" i="4" s="1"/>
  <c r="AB16" i="4"/>
  <c r="AB24" i="4"/>
  <c r="AB56" i="4"/>
  <c r="AB74" i="4"/>
  <c r="AB20" i="4"/>
  <c r="AB76" i="4"/>
  <c r="AA99" i="4"/>
  <c r="AB82" i="22"/>
  <c r="AB68" i="22"/>
  <c r="AB80" i="13"/>
  <c r="AA103" i="13"/>
  <c r="S88" i="22"/>
  <c r="S95" i="22" s="1"/>
  <c r="S102" i="22" s="1"/>
  <c r="S182" i="10" s="1"/>
  <c r="S139" i="10"/>
  <c r="U131" i="10"/>
  <c r="U61" i="18"/>
  <c r="U63" i="18"/>
  <c r="U65" i="18" s="1"/>
  <c r="U62" i="18"/>
  <c r="W111" i="18"/>
  <c r="W117" i="18"/>
  <c r="W109" i="18"/>
  <c r="Y109" i="18"/>
  <c r="AA109" i="18"/>
  <c r="W110" i="18"/>
  <c r="W112" i="18"/>
  <c r="W114" i="18"/>
  <c r="W116" i="18"/>
  <c r="W118" i="18"/>
  <c r="W120" i="18"/>
  <c r="W122" i="18"/>
  <c r="W124" i="18"/>
  <c r="W126" i="18" s="1"/>
  <c r="W58" i="18" s="1"/>
  <c r="W59" i="18" s="1"/>
  <c r="X109" i="18"/>
  <c r="Z109" i="18"/>
  <c r="AB109" i="18"/>
  <c r="W113" i="18"/>
  <c r="W115" i="18"/>
  <c r="W119" i="18"/>
  <c r="W121" i="18"/>
  <c r="W123" i="18"/>
  <c r="V85" i="22"/>
  <c r="V92" i="22" s="1"/>
  <c r="V99" i="22" s="1"/>
  <c r="V179" i="10" s="1"/>
  <c r="V136" i="10"/>
  <c r="J30" i="15"/>
  <c r="J34" i="15" s="1"/>
  <c r="J33" i="15"/>
  <c r="J44" i="15" s="1"/>
  <c r="K33" i="15"/>
  <c r="K44" i="15" s="1"/>
  <c r="K30" i="15"/>
  <c r="J38" i="15"/>
  <c r="K17" i="15"/>
  <c r="V73" i="22"/>
  <c r="V80" i="22" s="1"/>
  <c r="V54" i="22"/>
  <c r="X158" i="9"/>
  <c r="X123" i="10"/>
  <c r="Z42" i="9"/>
  <c r="Y46" i="9"/>
  <c r="W59" i="22"/>
  <c r="W118" i="10"/>
  <c r="W7" i="11" s="1"/>
  <c r="W61" i="9"/>
  <c r="W62" i="9"/>
  <c r="W63" i="9"/>
  <c r="W65" i="9" s="1"/>
  <c r="W133" i="10"/>
  <c r="U174" i="10"/>
  <c r="U169" i="10" s="1"/>
  <c r="U75" i="22"/>
  <c r="U45" i="22" s="1"/>
  <c r="U96" i="22"/>
  <c r="K25" i="15"/>
  <c r="T180" i="10"/>
  <c r="Z51" i="13" l="1"/>
  <c r="Y67" i="13"/>
  <c r="X129" i="10"/>
  <c r="X62" i="4"/>
  <c r="X61" i="4"/>
  <c r="X63" i="4"/>
  <c r="T163" i="10"/>
  <c r="M10" i="15"/>
  <c r="AD7" i="4"/>
  <c r="AC15" i="4"/>
  <c r="AC17" i="4" s="1"/>
  <c r="AC18" i="4" s="1"/>
  <c r="AC16" i="4"/>
  <c r="AC20" i="4"/>
  <c r="AC56" i="4"/>
  <c r="AC74" i="4"/>
  <c r="AC24" i="4"/>
  <c r="AC79" i="13"/>
  <c r="AB102" i="13"/>
  <c r="T99" i="22"/>
  <c r="AC79" i="9"/>
  <c r="AB102" i="9"/>
  <c r="H91" i="13"/>
  <c r="H114" i="13"/>
  <c r="AC79" i="8"/>
  <c r="AB102" i="8"/>
  <c r="AB17" i="8"/>
  <c r="W126" i="8"/>
  <c r="W58" i="8" s="1"/>
  <c r="W59" i="8" s="1"/>
  <c r="U139" i="10"/>
  <c r="U88" i="22"/>
  <c r="U95" i="22" s="1"/>
  <c r="U102" i="22" s="1"/>
  <c r="U182" i="10" s="1"/>
  <c r="U157" i="10"/>
  <c r="U137" i="10"/>
  <c r="U86" i="22"/>
  <c r="U128" i="10"/>
  <c r="Y67" i="18"/>
  <c r="AC68" i="22"/>
  <c r="AC82" i="22"/>
  <c r="V61" i="9"/>
  <c r="V63" i="9"/>
  <c r="V65" i="9" s="1"/>
  <c r="V62" i="9"/>
  <c r="V133" i="10"/>
  <c r="Z50" i="9"/>
  <c r="Z51" i="9" s="1"/>
  <c r="Z67" i="9" s="1"/>
  <c r="Y126" i="9"/>
  <c r="Y58" i="9" s="1"/>
  <c r="Y59" i="9" s="1"/>
  <c r="AC85" i="18"/>
  <c r="AB108" i="18"/>
  <c r="I91" i="8"/>
  <c r="I114" i="8"/>
  <c r="AC83" i="18"/>
  <c r="AB106" i="18"/>
  <c r="Z19" i="18"/>
  <c r="Z55" i="18"/>
  <c r="AC83" i="9"/>
  <c r="AB106" i="9"/>
  <c r="S135" i="10"/>
  <c r="G144" i="8"/>
  <c r="AB120" i="10"/>
  <c r="AB56" i="22" s="1"/>
  <c r="AB70" i="22" s="1"/>
  <c r="AB77" i="22" s="1"/>
  <c r="AB171" i="10" s="1"/>
  <c r="AB18" i="18"/>
  <c r="AB28" i="18"/>
  <c r="AA38" i="4"/>
  <c r="Z49" i="4"/>
  <c r="Z52" i="4" s="1"/>
  <c r="Z54" i="4" s="1"/>
  <c r="Z21" i="4" s="1"/>
  <c r="Z66" i="4" s="1"/>
  <c r="Z43" i="4"/>
  <c r="Z119" i="10" s="1"/>
  <c r="Z55" i="22" s="1"/>
  <c r="Z69" i="22" s="1"/>
  <c r="Z76" i="22" s="1"/>
  <c r="Z170" i="10" s="1"/>
  <c r="AC80" i="8"/>
  <c r="AB103" i="8"/>
  <c r="V64" i="13"/>
  <c r="V60" i="13"/>
  <c r="V64" i="18"/>
  <c r="V60" i="18"/>
  <c r="AC82" i="4"/>
  <c r="AB105" i="4"/>
  <c r="AC81" i="9"/>
  <c r="AB104" i="9"/>
  <c r="AC80" i="18"/>
  <c r="AB103" i="18"/>
  <c r="Y110" i="13"/>
  <c r="AA110" i="13"/>
  <c r="AC110" i="13"/>
  <c r="X111" i="13"/>
  <c r="X113" i="13"/>
  <c r="X115" i="13"/>
  <c r="X117" i="13"/>
  <c r="X119" i="13"/>
  <c r="X121" i="13"/>
  <c r="X123" i="13"/>
  <c r="X110" i="13"/>
  <c r="Z110" i="13"/>
  <c r="AB110" i="13"/>
  <c r="X112" i="13"/>
  <c r="X114" i="13"/>
  <c r="X116" i="13"/>
  <c r="X118" i="13"/>
  <c r="X120" i="13"/>
  <c r="X122" i="13"/>
  <c r="X124" i="13"/>
  <c r="Y110" i="8"/>
  <c r="AA110" i="8"/>
  <c r="AC110" i="8"/>
  <c r="X111" i="8"/>
  <c r="X113" i="8"/>
  <c r="X115" i="8"/>
  <c r="X117" i="8"/>
  <c r="X119" i="8"/>
  <c r="X121" i="8"/>
  <c r="X123" i="8"/>
  <c r="X110" i="8"/>
  <c r="Z110" i="8"/>
  <c r="AB110" i="8"/>
  <c r="X112" i="8"/>
  <c r="X114" i="8"/>
  <c r="X116" i="8"/>
  <c r="X118" i="8"/>
  <c r="X120" i="8"/>
  <c r="X122" i="8"/>
  <c r="X124" i="8"/>
  <c r="X126" i="8" s="1"/>
  <c r="X58" i="8" s="1"/>
  <c r="X59" i="8" s="1"/>
  <c r="W64" i="18"/>
  <c r="W60" i="18"/>
  <c r="U138" i="10"/>
  <c r="U87" i="22"/>
  <c r="U94" i="22" s="1"/>
  <c r="U101" i="22" s="1"/>
  <c r="U181" i="10" s="1"/>
  <c r="AC81" i="13"/>
  <c r="AB104" i="13"/>
  <c r="AC77" i="4"/>
  <c r="AB100" i="4"/>
  <c r="AC75" i="4"/>
  <c r="AB98" i="4"/>
  <c r="AB19" i="4"/>
  <c r="AB126" i="10"/>
  <c r="AC82" i="13"/>
  <c r="AB105" i="13"/>
  <c r="AC84" i="13"/>
  <c r="AB107" i="13"/>
  <c r="AC85" i="9"/>
  <c r="AB108" i="9"/>
  <c r="AC85" i="13"/>
  <c r="AB108" i="13"/>
  <c r="AC81" i="8"/>
  <c r="AB104" i="8"/>
  <c r="Z19" i="8"/>
  <c r="Z50" i="8" s="1"/>
  <c r="Z51" i="8" s="1"/>
  <c r="Z55" i="8"/>
  <c r="H87" i="4"/>
  <c r="H110" i="4"/>
  <c r="AC81" i="4"/>
  <c r="AB104" i="4"/>
  <c r="AB42" i="13"/>
  <c r="AA46" i="13"/>
  <c r="AA122" i="10" s="1"/>
  <c r="AA58" i="22" s="1"/>
  <c r="AA72" i="22" s="1"/>
  <c r="AA79" i="22" s="1"/>
  <c r="AA173" i="10" s="1"/>
  <c r="AD7" i="13"/>
  <c r="AC15" i="13"/>
  <c r="AC17" i="13" s="1"/>
  <c r="AC16" i="13"/>
  <c r="AC30" i="13"/>
  <c r="AC57" i="13"/>
  <c r="AC78" i="13"/>
  <c r="AB18" i="13"/>
  <c r="AB28" i="13"/>
  <c r="AC80" i="13"/>
  <c r="AB103" i="13"/>
  <c r="AC86" i="9"/>
  <c r="AB109" i="9"/>
  <c r="T146" i="10"/>
  <c r="T10" i="11"/>
  <c r="AC78" i="4"/>
  <c r="AB101" i="4"/>
  <c r="AD7" i="9"/>
  <c r="AC15" i="9"/>
  <c r="AC17" i="9" s="1"/>
  <c r="AC16" i="9"/>
  <c r="AC30" i="9"/>
  <c r="AC57" i="9"/>
  <c r="AC78" i="9"/>
  <c r="AB18" i="9"/>
  <c r="AB28" i="9"/>
  <c r="AA19" i="18"/>
  <c r="AA50" i="18" s="1"/>
  <c r="AA55" i="18"/>
  <c r="AC82" i="8"/>
  <c r="AB105" i="8"/>
  <c r="AC57" i="8"/>
  <c r="AC78" i="8"/>
  <c r="AC16" i="8"/>
  <c r="AD7" i="8"/>
  <c r="AC15" i="8"/>
  <c r="AC17" i="8" s="1"/>
  <c r="AC30" i="8"/>
  <c r="AC82" i="18"/>
  <c r="AB105" i="18"/>
  <c r="V62" i="8"/>
  <c r="V130" i="10"/>
  <c r="V61" i="8"/>
  <c r="V63" i="8"/>
  <c r="V65" i="8" s="1"/>
  <c r="X110" i="18"/>
  <c r="Z110" i="18"/>
  <c r="AB110" i="18"/>
  <c r="X112" i="18"/>
  <c r="X114" i="18"/>
  <c r="X116" i="18"/>
  <c r="X118" i="18"/>
  <c r="X120" i="18"/>
  <c r="X122" i="18"/>
  <c r="X124" i="18"/>
  <c r="Y110" i="18"/>
  <c r="AA110" i="18"/>
  <c r="AC110" i="18"/>
  <c r="X111" i="18"/>
  <c r="X113" i="18"/>
  <c r="X115" i="18"/>
  <c r="X117" i="18"/>
  <c r="X119" i="18"/>
  <c r="X121" i="18"/>
  <c r="X123" i="18"/>
  <c r="W9" i="15"/>
  <c r="AD43" i="22"/>
  <c r="AE115" i="10"/>
  <c r="AD148" i="10"/>
  <c r="AD167" i="10" s="1"/>
  <c r="AD161" i="10"/>
  <c r="AA126" i="10"/>
  <c r="AA19" i="4"/>
  <c r="AC76" i="4"/>
  <c r="AB99" i="4"/>
  <c r="AC82" i="9"/>
  <c r="AB105" i="9"/>
  <c r="X126" i="9"/>
  <c r="X58" i="9" s="1"/>
  <c r="X59" i="9" s="1"/>
  <c r="T139" i="10"/>
  <c r="T88" i="22"/>
  <c r="Z50" i="18"/>
  <c r="Z51" i="18" s="1"/>
  <c r="W126" i="13"/>
  <c r="W58" i="13" s="1"/>
  <c r="W59" i="13" s="1"/>
  <c r="AA18" i="13"/>
  <c r="AA28" i="13"/>
  <c r="L15" i="15"/>
  <c r="L37" i="15" s="1"/>
  <c r="L41" i="15"/>
  <c r="L27" i="15"/>
  <c r="L33" i="15" s="1"/>
  <c r="S146" i="10"/>
  <c r="S10" i="11"/>
  <c r="S93" i="22"/>
  <c r="S84" i="22"/>
  <c r="R149" i="10"/>
  <c r="R142" i="10"/>
  <c r="R144" i="10" s="1"/>
  <c r="R153" i="10"/>
  <c r="R150" i="10"/>
  <c r="R152" i="10"/>
  <c r="AD42" i="8"/>
  <c r="AC46" i="8"/>
  <c r="AC120" i="10" s="1"/>
  <c r="AC56" i="22" s="1"/>
  <c r="AC70" i="22" s="1"/>
  <c r="AC77" i="22" s="1"/>
  <c r="AC171" i="10" s="1"/>
  <c r="AA18" i="9"/>
  <c r="AA28" i="9"/>
  <c r="AC80" i="9"/>
  <c r="AB103" i="9"/>
  <c r="AC83" i="8"/>
  <c r="AB106" i="8"/>
  <c r="AC42" i="18"/>
  <c r="AB46" i="18"/>
  <c r="G135" i="18"/>
  <c r="AC81" i="18"/>
  <c r="AB104" i="18"/>
  <c r="AC79" i="18"/>
  <c r="AB102" i="18"/>
  <c r="AD7" i="18"/>
  <c r="AC15" i="18"/>
  <c r="AC16" i="18"/>
  <c r="AC30" i="18"/>
  <c r="AC57" i="18"/>
  <c r="AC78" i="18"/>
  <c r="Z107" i="4"/>
  <c r="AB107" i="4"/>
  <c r="Y109" i="4"/>
  <c r="Y111" i="4"/>
  <c r="Y113" i="4"/>
  <c r="Y115" i="4"/>
  <c r="Y117" i="4"/>
  <c r="Y119" i="4"/>
  <c r="Y107" i="4"/>
  <c r="Y122" i="4" s="1"/>
  <c r="Y57" i="4" s="1"/>
  <c r="Y58" i="4" s="1"/>
  <c r="Y59" i="4" s="1"/>
  <c r="Y60" i="4" s="1"/>
  <c r="AA107" i="4"/>
  <c r="AC107" i="4"/>
  <c r="Y108" i="4"/>
  <c r="Y110" i="4"/>
  <c r="Y112" i="4"/>
  <c r="Y114" i="4"/>
  <c r="Y116" i="4"/>
  <c r="Y118" i="4"/>
  <c r="Y120" i="4"/>
  <c r="AA18" i="8"/>
  <c r="AA28" i="8"/>
  <c r="H91" i="9"/>
  <c r="H114" i="9"/>
  <c r="AC79" i="4"/>
  <c r="AB102" i="4"/>
  <c r="AC84" i="8"/>
  <c r="AB107" i="8"/>
  <c r="AC85" i="8"/>
  <c r="AB108" i="8"/>
  <c r="AC80" i="4"/>
  <c r="AB103" i="4"/>
  <c r="AC84" i="9"/>
  <c r="AB107" i="9"/>
  <c r="I91" i="18"/>
  <c r="I114" i="18"/>
  <c r="AC83" i="13"/>
  <c r="AB106" i="13"/>
  <c r="AC84" i="18"/>
  <c r="AB107" i="18"/>
  <c r="W85" i="22"/>
  <c r="W92" i="22" s="1"/>
  <c r="W99" i="22" s="1"/>
  <c r="W179" i="10" s="1"/>
  <c r="W136" i="10"/>
  <c r="Y67" i="8"/>
  <c r="K42" i="15"/>
  <c r="L25" i="15"/>
  <c r="U103" i="22"/>
  <c r="W89" i="22"/>
  <c r="W140" i="10"/>
  <c r="W73" i="22"/>
  <c r="W80" i="22" s="1"/>
  <c r="W54" i="22"/>
  <c r="Y60" i="9"/>
  <c r="Y64" i="9"/>
  <c r="Y158" i="9"/>
  <c r="Y123" i="10"/>
  <c r="AA42" i="9"/>
  <c r="Z46" i="9"/>
  <c r="X59" i="22"/>
  <c r="X118" i="10"/>
  <c r="X7" i="11" s="1"/>
  <c r="V174" i="10"/>
  <c r="V169" i="10" s="1"/>
  <c r="V75" i="22"/>
  <c r="V45" i="22" s="1"/>
  <c r="K38" i="15"/>
  <c r="L17" i="15"/>
  <c r="K34" i="15"/>
  <c r="K45" i="15" s="1"/>
  <c r="L30" i="15"/>
  <c r="J45" i="15"/>
  <c r="Y129" i="10" l="1"/>
  <c r="Y62" i="4"/>
  <c r="Y61" i="4"/>
  <c r="Y63" i="4"/>
  <c r="AA51" i="18"/>
  <c r="Z67" i="18"/>
  <c r="Z67" i="8"/>
  <c r="AB111" i="8"/>
  <c r="Y113" i="8"/>
  <c r="Y121" i="8"/>
  <c r="Y111" i="8"/>
  <c r="AA111" i="8"/>
  <c r="AC111" i="8"/>
  <c r="Y112" i="8"/>
  <c r="Y114" i="8"/>
  <c r="Y116" i="8"/>
  <c r="Y118" i="8"/>
  <c r="Y120" i="8"/>
  <c r="Y122" i="8"/>
  <c r="Y124" i="8"/>
  <c r="Z111" i="8"/>
  <c r="AD111" i="8"/>
  <c r="Y115" i="8"/>
  <c r="Y117" i="8"/>
  <c r="Y119" i="8"/>
  <c r="Y123" i="8"/>
  <c r="AD15" i="18"/>
  <c r="AD30" i="18"/>
  <c r="AE7" i="18"/>
  <c r="AD16" i="18"/>
  <c r="AD57" i="18"/>
  <c r="AD78" i="18"/>
  <c r="AD80" i="18"/>
  <c r="AC103" i="18"/>
  <c r="AD82" i="18"/>
  <c r="AC105" i="18"/>
  <c r="G144" i="18"/>
  <c r="AB121" i="10"/>
  <c r="AB57" i="22" s="1"/>
  <c r="AB71" i="22" s="1"/>
  <c r="AB78" i="22" s="1"/>
  <c r="AB172" i="10" s="1"/>
  <c r="S100" i="22"/>
  <c r="S91" i="22"/>
  <c r="X9" i="15"/>
  <c r="AE43" i="22"/>
  <c r="AE161" i="10"/>
  <c r="AF115" i="10"/>
  <c r="AE148" i="10"/>
  <c r="AE167" i="10" s="1"/>
  <c r="V86" i="22"/>
  <c r="V137" i="10"/>
  <c r="AE7" i="8"/>
  <c r="AD15" i="8"/>
  <c r="AD17" i="8" s="1"/>
  <c r="AD16" i="8"/>
  <c r="AD30" i="8"/>
  <c r="AD57" i="8"/>
  <c r="AD78" i="8"/>
  <c r="AD79" i="8"/>
  <c r="AC102" i="8"/>
  <c r="AD79" i="9"/>
  <c r="AC102" i="9"/>
  <c r="AC18" i="9"/>
  <c r="AC28" i="9"/>
  <c r="AD79" i="13"/>
  <c r="AC102" i="13"/>
  <c r="AC18" i="13"/>
  <c r="AC28" i="13"/>
  <c r="W63" i="18"/>
  <c r="W65" i="18" s="1"/>
  <c r="W62" i="18"/>
  <c r="W131" i="10"/>
  <c r="W61" i="18"/>
  <c r="X64" i="8"/>
  <c r="X60" i="8"/>
  <c r="AD81" i="18"/>
  <c r="AC104" i="18"/>
  <c r="AD82" i="9"/>
  <c r="AC105" i="9"/>
  <c r="AD83" i="4"/>
  <c r="AC106" i="4"/>
  <c r="V62" i="13"/>
  <c r="V132" i="10"/>
  <c r="V61" i="13"/>
  <c r="V63" i="13"/>
  <c r="V65" i="13" s="1"/>
  <c r="AB38" i="4"/>
  <c r="AA49" i="4"/>
  <c r="AA52" i="4" s="1"/>
  <c r="AA54" i="4" s="1"/>
  <c r="AA21" i="4" s="1"/>
  <c r="AA66" i="4" s="1"/>
  <c r="AA43" i="4"/>
  <c r="AA119" i="10" s="1"/>
  <c r="AA55" i="22" s="1"/>
  <c r="AA69" i="22" s="1"/>
  <c r="AA76" i="22" s="1"/>
  <c r="AA170" i="10" s="1"/>
  <c r="AB19" i="18"/>
  <c r="AB55" i="18"/>
  <c r="G140" i="18" s="1"/>
  <c r="G141" i="18" s="1"/>
  <c r="S149" i="10"/>
  <c r="S142" i="10"/>
  <c r="S144" i="10" s="1"/>
  <c r="S153" i="10"/>
  <c r="S151" i="10"/>
  <c r="V140" i="10"/>
  <c r="V89" i="22"/>
  <c r="V96" i="22" s="1"/>
  <c r="Y114" i="18"/>
  <c r="Y120" i="18"/>
  <c r="Z111" i="18"/>
  <c r="AB111" i="18"/>
  <c r="AD111" i="18"/>
  <c r="Y113" i="18"/>
  <c r="Y115" i="18"/>
  <c r="Y117" i="18"/>
  <c r="Y119" i="18"/>
  <c r="Y121" i="18"/>
  <c r="Y123" i="18"/>
  <c r="Y111" i="18"/>
  <c r="AA111" i="18"/>
  <c r="AC111" i="18"/>
  <c r="Y112" i="18"/>
  <c r="Y116" i="18"/>
  <c r="Y118" i="18"/>
  <c r="Y122" i="18"/>
  <c r="Y124" i="18"/>
  <c r="U93" i="22"/>
  <c r="U84" i="22"/>
  <c r="U163" i="10"/>
  <c r="N10" i="15"/>
  <c r="U152" i="10"/>
  <c r="AB18" i="8"/>
  <c r="AB28" i="8"/>
  <c r="AD80" i="8"/>
  <c r="AC103" i="8"/>
  <c r="AD75" i="4"/>
  <c r="AC98" i="4"/>
  <c r="AC126" i="10"/>
  <c r="AC19" i="4"/>
  <c r="S152" i="10"/>
  <c r="M13" i="15"/>
  <c r="M15" i="15"/>
  <c r="M37" i="15" s="1"/>
  <c r="M41" i="15"/>
  <c r="AD111" i="13"/>
  <c r="Y115" i="13"/>
  <c r="Y121" i="13"/>
  <c r="Y111" i="13"/>
  <c r="AA111" i="13"/>
  <c r="AC111" i="13"/>
  <c r="Y112" i="13"/>
  <c r="Y114" i="13"/>
  <c r="Y116" i="13"/>
  <c r="Y118" i="13"/>
  <c r="Y120" i="13"/>
  <c r="Y122" i="13"/>
  <c r="Y124" i="13"/>
  <c r="Y126" i="13" s="1"/>
  <c r="Y58" i="13" s="1"/>
  <c r="Y59" i="13" s="1"/>
  <c r="Z111" i="13"/>
  <c r="AB111" i="13"/>
  <c r="Y113" i="13"/>
  <c r="Y117" i="13"/>
  <c r="Y119" i="13"/>
  <c r="Y123" i="13"/>
  <c r="AD85" i="18"/>
  <c r="AC108" i="18"/>
  <c r="AD84" i="13"/>
  <c r="AC107" i="13"/>
  <c r="I115" i="18"/>
  <c r="I92" i="18"/>
  <c r="AD85" i="9"/>
  <c r="AC108" i="9"/>
  <c r="AD81" i="4"/>
  <c r="AC104" i="4"/>
  <c r="AD86" i="8"/>
  <c r="AC109" i="8"/>
  <c r="AD85" i="8"/>
  <c r="AC108" i="8"/>
  <c r="AD80" i="4"/>
  <c r="AC103" i="4"/>
  <c r="H92" i="9"/>
  <c r="H115" i="9"/>
  <c r="AA19" i="8"/>
  <c r="AA50" i="8" s="1"/>
  <c r="AA51" i="8" s="1"/>
  <c r="AA55" i="8"/>
  <c r="AD79" i="18"/>
  <c r="AC102" i="18"/>
  <c r="AC17" i="18"/>
  <c r="AC46" i="18"/>
  <c r="AC121" i="10" s="1"/>
  <c r="AC57" i="22" s="1"/>
  <c r="AC71" i="22" s="1"/>
  <c r="AC78" i="22" s="1"/>
  <c r="AC172" i="10" s="1"/>
  <c r="AD42" i="18"/>
  <c r="AD84" i="8"/>
  <c r="AC107" i="8"/>
  <c r="AD81" i="9"/>
  <c r="AC104" i="9"/>
  <c r="AA19" i="9"/>
  <c r="AA55" i="9"/>
  <c r="AE42" i="8"/>
  <c r="AD46" i="8"/>
  <c r="AD120" i="10" s="1"/>
  <c r="AD56" i="22" s="1"/>
  <c r="AD70" i="22" s="1"/>
  <c r="AD77" i="22" s="1"/>
  <c r="AD171" i="10" s="1"/>
  <c r="L44" i="15"/>
  <c r="AA19" i="13"/>
  <c r="AA50" i="13" s="1"/>
  <c r="AA51" i="13" s="1"/>
  <c r="AA55" i="13"/>
  <c r="W60" i="13"/>
  <c r="W64" i="13"/>
  <c r="T95" i="22"/>
  <c r="T84" i="22"/>
  <c r="X60" i="9"/>
  <c r="X64" i="9"/>
  <c r="AD83" i="9"/>
  <c r="AC106" i="9"/>
  <c r="AD77" i="4"/>
  <c r="AC100" i="4"/>
  <c r="AD68" i="22"/>
  <c r="AD82" i="22"/>
  <c r="X126" i="18"/>
  <c r="X58" i="18" s="1"/>
  <c r="X59" i="18" s="1"/>
  <c r="AD83" i="18"/>
  <c r="AC106" i="18"/>
  <c r="AC18" i="8"/>
  <c r="AC28" i="8"/>
  <c r="AD83" i="8"/>
  <c r="AC106" i="8"/>
  <c r="AB19" i="9"/>
  <c r="AB50" i="9" s="1"/>
  <c r="AB51" i="9" s="1"/>
  <c r="AB55" i="9"/>
  <c r="G140" i="9" s="1"/>
  <c r="G141" i="9" s="1"/>
  <c r="AE7" i="9"/>
  <c r="AD78" i="9"/>
  <c r="AD30" i="9"/>
  <c r="AD57" i="9"/>
  <c r="AD15" i="9"/>
  <c r="AD17" i="9" s="1"/>
  <c r="AD16" i="9"/>
  <c r="AD79" i="4"/>
  <c r="AC102" i="4"/>
  <c r="AD87" i="9"/>
  <c r="AC110" i="9"/>
  <c r="AD81" i="13"/>
  <c r="AC104" i="13"/>
  <c r="AB19" i="13"/>
  <c r="AB50" i="13" s="1"/>
  <c r="AB55" i="13"/>
  <c r="G140" i="13" s="1"/>
  <c r="G141" i="13" s="1"/>
  <c r="AE7" i="13"/>
  <c r="AD16" i="13"/>
  <c r="AD57" i="13"/>
  <c r="AD78" i="13"/>
  <c r="AD15" i="13"/>
  <c r="AD17" i="13" s="1"/>
  <c r="AD30" i="13"/>
  <c r="AC42" i="13"/>
  <c r="AB46" i="13"/>
  <c r="G135" i="13"/>
  <c r="AD82" i="4"/>
  <c r="AC105" i="4"/>
  <c r="H111" i="4"/>
  <c r="H88" i="4"/>
  <c r="AD82" i="8"/>
  <c r="AC105" i="8"/>
  <c r="AD86" i="13"/>
  <c r="AC109" i="13"/>
  <c r="AD86" i="9"/>
  <c r="AC109" i="9"/>
  <c r="AD85" i="13"/>
  <c r="AC108" i="13"/>
  <c r="AD83" i="13"/>
  <c r="AC106" i="13"/>
  <c r="AD76" i="4"/>
  <c r="AC99" i="4"/>
  <c r="AD78" i="4"/>
  <c r="AC101" i="4"/>
  <c r="AD82" i="13"/>
  <c r="AC105" i="13"/>
  <c r="X126" i="13"/>
  <c r="X58" i="13" s="1"/>
  <c r="X59" i="13" s="1"/>
  <c r="V61" i="18"/>
  <c r="V63" i="18"/>
  <c r="V65" i="18" s="1"/>
  <c r="V157" i="10" s="1"/>
  <c r="V62" i="18"/>
  <c r="V131" i="10"/>
  <c r="AD81" i="8"/>
  <c r="AC104" i="8"/>
  <c r="Z108" i="4"/>
  <c r="Z122" i="4" s="1"/>
  <c r="Z57" i="4" s="1"/>
  <c r="Z58" i="4" s="1"/>
  <c r="Z59" i="4" s="1"/>
  <c r="Z60" i="4" s="1"/>
  <c r="AB108" i="4"/>
  <c r="AD108" i="4"/>
  <c r="Z110" i="4"/>
  <c r="Z112" i="4"/>
  <c r="Z114" i="4"/>
  <c r="Z116" i="4"/>
  <c r="Z118" i="4"/>
  <c r="Z120" i="4"/>
  <c r="AA108" i="4"/>
  <c r="AC108" i="4"/>
  <c r="Z109" i="4"/>
  <c r="Z111" i="4"/>
  <c r="Z113" i="4"/>
  <c r="Z115" i="4"/>
  <c r="Z117" i="4"/>
  <c r="Z119" i="4"/>
  <c r="AB50" i="18"/>
  <c r="S150" i="10"/>
  <c r="AD84" i="9"/>
  <c r="AC107" i="9"/>
  <c r="AD84" i="18"/>
  <c r="AC107" i="18"/>
  <c r="I92" i="8"/>
  <c r="I115" i="8"/>
  <c r="AD86" i="18"/>
  <c r="AC109" i="18"/>
  <c r="Z112" i="9"/>
  <c r="AB112" i="9"/>
  <c r="AD112" i="9"/>
  <c r="Z114" i="9"/>
  <c r="Z116" i="9"/>
  <c r="Z118" i="9"/>
  <c r="Z120" i="9"/>
  <c r="Z122" i="9"/>
  <c r="Z124" i="9"/>
  <c r="AA112" i="9"/>
  <c r="AC112" i="9"/>
  <c r="Z113" i="9"/>
  <c r="Z115" i="9"/>
  <c r="Z117" i="9"/>
  <c r="Z119" i="9"/>
  <c r="Z121" i="9"/>
  <c r="Z123" i="9"/>
  <c r="U146" i="10"/>
  <c r="U10" i="11"/>
  <c r="U135" i="10"/>
  <c r="U150" i="10"/>
  <c r="W60" i="8"/>
  <c r="W64" i="8"/>
  <c r="H92" i="13"/>
  <c r="H115" i="13"/>
  <c r="AD80" i="9"/>
  <c r="AC103" i="9"/>
  <c r="T179" i="10"/>
  <c r="AD80" i="13"/>
  <c r="AC103" i="13"/>
  <c r="AE7" i="4"/>
  <c r="AD15" i="4"/>
  <c r="AD17" i="4" s="1"/>
  <c r="AD18" i="4" s="1"/>
  <c r="AD16" i="4"/>
  <c r="AD24" i="4"/>
  <c r="AD20" i="4"/>
  <c r="AD56" i="4"/>
  <c r="AD74" i="4"/>
  <c r="T135" i="10"/>
  <c r="X85" i="22"/>
  <c r="X92" i="22" s="1"/>
  <c r="X99" i="22" s="1"/>
  <c r="X179" i="10" s="1"/>
  <c r="F109" i="10"/>
  <c r="X136" i="10"/>
  <c r="Z67" i="13"/>
  <c r="L34" i="15"/>
  <c r="L38" i="15"/>
  <c r="V103" i="22"/>
  <c r="X73" i="22"/>
  <c r="X80" i="22" s="1"/>
  <c r="X54" i="22"/>
  <c r="Z158" i="9"/>
  <c r="Z123" i="10"/>
  <c r="AB42" i="9"/>
  <c r="AA46" i="9"/>
  <c r="Y59" i="22"/>
  <c r="Y118" i="10"/>
  <c r="Y61" i="9"/>
  <c r="Y62" i="9"/>
  <c r="Y63" i="9"/>
  <c r="Y65" i="9" s="1"/>
  <c r="Y133" i="10"/>
  <c r="W174" i="10"/>
  <c r="W169" i="10" s="1"/>
  <c r="W75" i="22"/>
  <c r="W45" i="22" s="1"/>
  <c r="W96" i="22"/>
  <c r="U183" i="10"/>
  <c r="L42" i="15"/>
  <c r="M25" i="15"/>
  <c r="V163" i="10" l="1"/>
  <c r="O10" i="15"/>
  <c r="AB51" i="13"/>
  <c r="AA67" i="13"/>
  <c r="AA67" i="8"/>
  <c r="Z129" i="10"/>
  <c r="Z62" i="4"/>
  <c r="Z61" i="4"/>
  <c r="Z63" i="4"/>
  <c r="AD19" i="4"/>
  <c r="AD126" i="10"/>
  <c r="AE87" i="18"/>
  <c r="AD110" i="18"/>
  <c r="I93" i="8"/>
  <c r="I116" i="8"/>
  <c r="AE85" i="18"/>
  <c r="AD108" i="18"/>
  <c r="AE85" i="9"/>
  <c r="AD108" i="9"/>
  <c r="V87" i="22"/>
  <c r="V94" i="22" s="1"/>
  <c r="V101" i="22" s="1"/>
  <c r="V181" i="10" s="1"/>
  <c r="V138" i="10"/>
  <c r="AD18" i="13"/>
  <c r="AD28" i="13"/>
  <c r="AF7" i="13"/>
  <c r="AE15" i="13"/>
  <c r="AE16" i="13"/>
  <c r="AE30" i="13"/>
  <c r="AE78" i="13"/>
  <c r="AE57" i="13"/>
  <c r="AD18" i="9"/>
  <c r="AD28" i="9"/>
  <c r="AF7" i="9"/>
  <c r="AE15" i="9"/>
  <c r="AE16" i="9"/>
  <c r="AE30" i="9"/>
  <c r="AE57" i="9"/>
  <c r="AE78" i="9"/>
  <c r="AC19" i="8"/>
  <c r="AC50" i="8" s="1"/>
  <c r="AC55" i="8"/>
  <c r="AE84" i="18"/>
  <c r="AD107" i="18"/>
  <c r="I93" i="18"/>
  <c r="I116" i="18"/>
  <c r="M17" i="15"/>
  <c r="AE75" i="4"/>
  <c r="AD98" i="4"/>
  <c r="AF7" i="4"/>
  <c r="AE15" i="4"/>
  <c r="AE16" i="4"/>
  <c r="AE20" i="4"/>
  <c r="AE56" i="4"/>
  <c r="AE74" i="4"/>
  <c r="AE24" i="4"/>
  <c r="AE81" i="13"/>
  <c r="AD104" i="13"/>
  <c r="AE81" i="9"/>
  <c r="AD104" i="9"/>
  <c r="H116" i="13"/>
  <c r="H93" i="13"/>
  <c r="W62" i="8"/>
  <c r="W61" i="8"/>
  <c r="W63" i="8"/>
  <c r="W65" i="8" s="1"/>
  <c r="W130" i="10"/>
  <c r="U149" i="10"/>
  <c r="U142" i="10"/>
  <c r="U144" i="10" s="1"/>
  <c r="U153" i="10"/>
  <c r="Z126" i="9"/>
  <c r="Z58" i="9" s="1"/>
  <c r="Z59" i="9" s="1"/>
  <c r="AE82" i="8"/>
  <c r="AD105" i="8"/>
  <c r="U151" i="10"/>
  <c r="AE83" i="13"/>
  <c r="AD106" i="13"/>
  <c r="AE79" i="4"/>
  <c r="AD102" i="4"/>
  <c r="AE77" i="4"/>
  <c r="AD100" i="4"/>
  <c r="AE84" i="13"/>
  <c r="AD107" i="13"/>
  <c r="AE86" i="13"/>
  <c r="AD109" i="13"/>
  <c r="AE87" i="9"/>
  <c r="AD110" i="9"/>
  <c r="AE87" i="13"/>
  <c r="AD110" i="13"/>
  <c r="AE83" i="8"/>
  <c r="AD106" i="8"/>
  <c r="AE83" i="4"/>
  <c r="AD106" i="4"/>
  <c r="G144" i="13"/>
  <c r="AB122" i="10"/>
  <c r="AB58" i="22" s="1"/>
  <c r="AB72" i="22" s="1"/>
  <c r="AB79" i="22" s="1"/>
  <c r="AB173" i="10" s="1"/>
  <c r="AE79" i="13"/>
  <c r="AD102" i="13"/>
  <c r="AE79" i="9"/>
  <c r="AD102" i="9"/>
  <c r="X64" i="18"/>
  <c r="X60" i="18"/>
  <c r="AE78" i="4"/>
  <c r="AD101" i="4"/>
  <c r="AE84" i="9"/>
  <c r="AD107" i="9"/>
  <c r="X61" i="9"/>
  <c r="X63" i="9"/>
  <c r="X65" i="9" s="1"/>
  <c r="X62" i="9"/>
  <c r="X133" i="10"/>
  <c r="T102" i="22"/>
  <c r="T91" i="22"/>
  <c r="W132" i="10"/>
  <c r="W61" i="13"/>
  <c r="W63" i="13"/>
  <c r="W65" i="13" s="1"/>
  <c r="W62" i="13"/>
  <c r="AA50" i="9"/>
  <c r="AA51" i="9" s="1"/>
  <c r="AA67" i="9" s="1"/>
  <c r="AE42" i="18"/>
  <c r="AD46" i="18"/>
  <c r="AD121" i="10" s="1"/>
  <c r="AD57" i="22" s="1"/>
  <c r="AD71" i="22" s="1"/>
  <c r="AD78" i="22" s="1"/>
  <c r="AD172" i="10" s="1"/>
  <c r="AC18" i="18"/>
  <c r="AC28" i="18"/>
  <c r="AE80" i="18"/>
  <c r="AD103" i="18"/>
  <c r="H93" i="9"/>
  <c r="H116" i="9"/>
  <c r="AE81" i="4"/>
  <c r="AD104" i="4"/>
  <c r="AE86" i="8"/>
  <c r="AD109" i="8"/>
  <c r="AE87" i="8"/>
  <c r="AD110" i="8"/>
  <c r="AE82" i="4"/>
  <c r="AD105" i="4"/>
  <c r="AE86" i="9"/>
  <c r="AD109" i="9"/>
  <c r="AE85" i="13"/>
  <c r="AD108" i="13"/>
  <c r="AE86" i="18"/>
  <c r="AD109" i="18"/>
  <c r="AE81" i="8"/>
  <c r="AD104" i="8"/>
  <c r="AB19" i="8"/>
  <c r="AB50" i="8" s="1"/>
  <c r="AB51" i="8" s="1"/>
  <c r="AB55" i="8"/>
  <c r="G140" i="8" s="1"/>
  <c r="G141" i="8" s="1"/>
  <c r="N13" i="15"/>
  <c r="N15" i="15"/>
  <c r="N37" i="15" s="1"/>
  <c r="N41" i="15"/>
  <c r="N27" i="15"/>
  <c r="N33" i="15" s="1"/>
  <c r="Y126" i="18"/>
  <c r="Y58" i="18" s="1"/>
  <c r="Y59" i="18" s="1"/>
  <c r="AC38" i="4"/>
  <c r="AB49" i="4"/>
  <c r="G136" i="4"/>
  <c r="AB43" i="4"/>
  <c r="AE84" i="4"/>
  <c r="AD107" i="4"/>
  <c r="AE83" i="9"/>
  <c r="AD106" i="9"/>
  <c r="AE82" i="18"/>
  <c r="AD105" i="18"/>
  <c r="W138" i="10"/>
  <c r="W87" i="22"/>
  <c r="W94" i="22" s="1"/>
  <c r="W101" i="22" s="1"/>
  <c r="W181" i="10" s="1"/>
  <c r="AC19" i="9"/>
  <c r="AC55" i="9"/>
  <c r="AE80" i="9"/>
  <c r="AD103" i="9"/>
  <c r="AE80" i="8"/>
  <c r="AD103" i="8"/>
  <c r="AE57" i="8"/>
  <c r="AE78" i="8"/>
  <c r="AF7" i="8"/>
  <c r="AE15" i="8"/>
  <c r="AE30" i="8"/>
  <c r="AE16" i="8"/>
  <c r="S180" i="10"/>
  <c r="S178" i="10" s="1"/>
  <c r="S98" i="22"/>
  <c r="S48" i="22" s="1"/>
  <c r="AE83" i="18"/>
  <c r="AD106" i="18"/>
  <c r="AE81" i="18"/>
  <c r="AD104" i="18"/>
  <c r="AF7" i="18"/>
  <c r="AE15" i="18"/>
  <c r="AE17" i="18" s="1"/>
  <c r="AE16" i="18"/>
  <c r="AE30" i="18"/>
  <c r="AE57" i="18"/>
  <c r="AE78" i="18"/>
  <c r="AD17" i="18"/>
  <c r="Y126" i="8"/>
  <c r="Y58" i="8" s="1"/>
  <c r="Y59" i="8" s="1"/>
  <c r="AB112" i="8"/>
  <c r="Z116" i="8"/>
  <c r="Z122" i="8"/>
  <c r="AA112" i="8"/>
  <c r="AC112" i="8"/>
  <c r="AE112" i="8"/>
  <c r="Z113" i="8"/>
  <c r="Z115" i="8"/>
  <c r="Z117" i="8"/>
  <c r="Z119" i="8"/>
  <c r="Z121" i="8"/>
  <c r="Z123" i="8"/>
  <c r="Z112" i="8"/>
  <c r="AD112" i="8"/>
  <c r="Z114" i="8"/>
  <c r="Z118" i="8"/>
  <c r="Z120" i="8"/>
  <c r="Z124" i="8"/>
  <c r="AB51" i="18"/>
  <c r="AA67" i="18"/>
  <c r="Z114" i="13"/>
  <c r="Z118" i="13"/>
  <c r="Z124" i="13"/>
  <c r="AA112" i="13"/>
  <c r="AC112" i="13"/>
  <c r="AE112" i="13"/>
  <c r="Z113" i="13"/>
  <c r="Z115" i="13"/>
  <c r="Z117" i="13"/>
  <c r="Z119" i="13"/>
  <c r="Z121" i="13"/>
  <c r="Z123" i="13"/>
  <c r="Z112" i="13"/>
  <c r="AB112" i="13"/>
  <c r="AD112" i="13"/>
  <c r="Z116" i="13"/>
  <c r="Z120" i="13"/>
  <c r="Z122" i="13"/>
  <c r="T149" i="10"/>
  <c r="T142" i="10"/>
  <c r="T144" i="10" s="1"/>
  <c r="T153" i="10"/>
  <c r="T150" i="10"/>
  <c r="T151" i="10"/>
  <c r="X64" i="13"/>
  <c r="X60" i="13"/>
  <c r="H89" i="4"/>
  <c r="H112" i="4"/>
  <c r="AD42" i="13"/>
  <c r="AC46" i="13"/>
  <c r="AC122" i="10" s="1"/>
  <c r="AC58" i="22" s="1"/>
  <c r="AC72" i="22" s="1"/>
  <c r="AC79" i="22" s="1"/>
  <c r="AC173" i="10" s="1"/>
  <c r="AE82" i="13"/>
  <c r="AD105" i="13"/>
  <c r="AE88" i="9"/>
  <c r="AD111" i="9"/>
  <c r="AE80" i="4"/>
  <c r="AD103" i="4"/>
  <c r="AB67" i="9"/>
  <c r="AE84" i="8"/>
  <c r="AD107" i="8"/>
  <c r="AE46" i="8"/>
  <c r="AE120" i="10" s="1"/>
  <c r="AE56" i="22" s="1"/>
  <c r="AE70" i="22" s="1"/>
  <c r="AE77" i="22" s="1"/>
  <c r="AE171" i="10" s="1"/>
  <c r="AF42" i="8"/>
  <c r="AE82" i="9"/>
  <c r="AD105" i="9"/>
  <c r="AE85" i="8"/>
  <c r="AD108" i="8"/>
  <c r="Y60" i="13"/>
  <c r="Y64" i="13"/>
  <c r="M27" i="15"/>
  <c r="AE76" i="4"/>
  <c r="AD99" i="4"/>
  <c r="U100" i="22"/>
  <c r="U91" i="22"/>
  <c r="AB109" i="4"/>
  <c r="AD109" i="4"/>
  <c r="AA111" i="4"/>
  <c r="AA113" i="4"/>
  <c r="AA115" i="4"/>
  <c r="AA117" i="4"/>
  <c r="AA119" i="4"/>
  <c r="AA109" i="4"/>
  <c r="AC109" i="4"/>
  <c r="AE109" i="4"/>
  <c r="AA110" i="4"/>
  <c r="AA112" i="4"/>
  <c r="AA114" i="4"/>
  <c r="AA116" i="4"/>
  <c r="AA118" i="4"/>
  <c r="AA120" i="4"/>
  <c r="AA122" i="4" s="1"/>
  <c r="AA57" i="4" s="1"/>
  <c r="AA58" i="4" s="1"/>
  <c r="AA59" i="4" s="1"/>
  <c r="AA60" i="4" s="1"/>
  <c r="V88" i="22"/>
  <c r="V95" i="22" s="1"/>
  <c r="V102" i="22" s="1"/>
  <c r="V182" i="10" s="1"/>
  <c r="V139" i="10"/>
  <c r="X62" i="8"/>
  <c r="X130" i="10"/>
  <c r="X61" i="8"/>
  <c r="X63" i="8"/>
  <c r="X65" i="8" s="1"/>
  <c r="AC19" i="13"/>
  <c r="AC50" i="13" s="1"/>
  <c r="AC55" i="13"/>
  <c r="AE80" i="13"/>
  <c r="AD103" i="13"/>
  <c r="AE79" i="8"/>
  <c r="AD102" i="8"/>
  <c r="AD18" i="8"/>
  <c r="AD28" i="8"/>
  <c r="V128" i="10"/>
  <c r="V93" i="22"/>
  <c r="V84" i="22"/>
  <c r="Y9" i="15"/>
  <c r="AF43" i="22"/>
  <c r="AG115" i="10"/>
  <c r="AF148" i="10"/>
  <c r="AF167" i="10" s="1"/>
  <c r="AF161" i="10"/>
  <c r="AE68" i="22"/>
  <c r="AE82" i="22"/>
  <c r="T152" i="10"/>
  <c r="AE79" i="18"/>
  <c r="AD102" i="18"/>
  <c r="Z117" i="18"/>
  <c r="Z112" i="18"/>
  <c r="AB112" i="18"/>
  <c r="AD112" i="18"/>
  <c r="Z114" i="18"/>
  <c r="Z116" i="18"/>
  <c r="Z118" i="18"/>
  <c r="Z120" i="18"/>
  <c r="Z122" i="18"/>
  <c r="Z124" i="18"/>
  <c r="AA112" i="18"/>
  <c r="AC112" i="18"/>
  <c r="AE112" i="18"/>
  <c r="Z113" i="18"/>
  <c r="Z115" i="18"/>
  <c r="Z119" i="18"/>
  <c r="Z121" i="18"/>
  <c r="Z123" i="18"/>
  <c r="Y136" i="10"/>
  <c r="Y85" i="22"/>
  <c r="Y92" i="22" s="1"/>
  <c r="Y99" i="22" s="1"/>
  <c r="Y179" i="10" s="1"/>
  <c r="M42" i="15"/>
  <c r="N25" i="15"/>
  <c r="W103" i="22"/>
  <c r="Y89" i="22"/>
  <c r="Y140" i="10"/>
  <c r="Y73" i="22"/>
  <c r="Y80" i="22" s="1"/>
  <c r="Y54" i="22"/>
  <c r="AA158" i="9"/>
  <c r="AA123" i="10"/>
  <c r="AC42" i="9"/>
  <c r="AB46" i="9"/>
  <c r="Z59" i="22"/>
  <c r="Z118" i="10"/>
  <c r="X174" i="10"/>
  <c r="X169" i="10" s="1"/>
  <c r="X75" i="22"/>
  <c r="X45" i="22" s="1"/>
  <c r="V183" i="10"/>
  <c r="M38" i="15"/>
  <c r="N17" i="15"/>
  <c r="L45" i="15"/>
  <c r="AA129" i="10" l="1"/>
  <c r="AA62" i="4"/>
  <c r="AA61" i="4"/>
  <c r="AA63" i="4"/>
  <c r="AC51" i="8"/>
  <c r="AB67" i="8"/>
  <c r="AF68" i="22"/>
  <c r="AF82" i="22"/>
  <c r="V10" i="11"/>
  <c r="V146" i="10"/>
  <c r="V152" i="10"/>
  <c r="V135" i="10"/>
  <c r="AG42" i="8"/>
  <c r="AF46" i="8"/>
  <c r="AF120" i="10" s="1"/>
  <c r="AF56" i="22" s="1"/>
  <c r="AF70" i="22" s="1"/>
  <c r="AF77" i="22" s="1"/>
  <c r="AF171" i="10" s="1"/>
  <c r="AB114" i="9"/>
  <c r="AD114" i="9"/>
  <c r="AF114" i="9"/>
  <c r="AC115" i="9"/>
  <c r="AE115" i="9"/>
  <c r="AG115" i="9"/>
  <c r="AB116" i="9"/>
  <c r="AD116" i="9"/>
  <c r="AF116" i="9"/>
  <c r="AH116" i="9"/>
  <c r="AC117" i="9"/>
  <c r="AE117" i="9"/>
  <c r="AG117" i="9"/>
  <c r="AI117" i="9"/>
  <c r="AB118" i="9"/>
  <c r="AD118" i="9"/>
  <c r="AF118" i="9"/>
  <c r="AH118" i="9"/>
  <c r="AJ118" i="9"/>
  <c r="AC119" i="9"/>
  <c r="AE119" i="9"/>
  <c r="AG119" i="9"/>
  <c r="AI119" i="9"/>
  <c r="AK119" i="9"/>
  <c r="AB120" i="9"/>
  <c r="AD120" i="9"/>
  <c r="AF120" i="9"/>
  <c r="AH120" i="9"/>
  <c r="AJ120" i="9"/>
  <c r="AL120" i="9"/>
  <c r="AC121" i="9"/>
  <c r="AE121" i="9"/>
  <c r="AG121" i="9"/>
  <c r="AI121" i="9"/>
  <c r="AK121" i="9"/>
  <c r="AB122" i="9"/>
  <c r="AD122" i="9"/>
  <c r="AF122" i="9"/>
  <c r="AH122" i="9"/>
  <c r="AJ122" i="9"/>
  <c r="AL122" i="9"/>
  <c r="AC123" i="9"/>
  <c r="AE123" i="9"/>
  <c r="AG123" i="9"/>
  <c r="AI123" i="9"/>
  <c r="AK123" i="9"/>
  <c r="AB124" i="9"/>
  <c r="AD124" i="9"/>
  <c r="AF124" i="9"/>
  <c r="AH124" i="9"/>
  <c r="AJ124" i="9"/>
  <c r="AL124" i="9"/>
  <c r="AC114" i="9"/>
  <c r="AE114" i="9"/>
  <c r="AB115" i="9"/>
  <c r="AD115" i="9"/>
  <c r="AF115" i="9"/>
  <c r="AC116" i="9"/>
  <c r="AE116" i="9"/>
  <c r="AG116" i="9"/>
  <c r="AB117" i="9"/>
  <c r="AD117" i="9"/>
  <c r="AF117" i="9"/>
  <c r="AH117" i="9"/>
  <c r="AC118" i="9"/>
  <c r="AE118" i="9"/>
  <c r="AG118" i="9"/>
  <c r="AI118" i="9"/>
  <c r="AB119" i="9"/>
  <c r="AD119" i="9"/>
  <c r="AF119" i="9"/>
  <c r="AH119" i="9"/>
  <c r="AJ119" i="9"/>
  <c r="AC120" i="9"/>
  <c r="AE120" i="9"/>
  <c r="AG120" i="9"/>
  <c r="AI120" i="9"/>
  <c r="AK120" i="9"/>
  <c r="AB121" i="9"/>
  <c r="AD121" i="9"/>
  <c r="AF121" i="9"/>
  <c r="AH121" i="9"/>
  <c r="AJ121" i="9"/>
  <c r="AL121" i="9"/>
  <c r="AC122" i="9"/>
  <c r="AE122" i="9"/>
  <c r="AG122" i="9"/>
  <c r="AI122" i="9"/>
  <c r="AK122" i="9"/>
  <c r="AB123" i="9"/>
  <c r="AD123" i="9"/>
  <c r="AF123" i="9"/>
  <c r="AH123" i="9"/>
  <c r="AJ123" i="9"/>
  <c r="AL123" i="9"/>
  <c r="AC124" i="9"/>
  <c r="AE124" i="9"/>
  <c r="AG124" i="9"/>
  <c r="AI124" i="9"/>
  <c r="AK124" i="9"/>
  <c r="AF81" i="4"/>
  <c r="AE104" i="4"/>
  <c r="AF89" i="9"/>
  <c r="AG90" i="9" s="1"/>
  <c r="AH91" i="9" s="1"/>
  <c r="AI92" i="9" s="1"/>
  <c r="AJ93" i="9" s="1"/>
  <c r="AK94" i="9" s="1"/>
  <c r="AL95" i="9" s="1"/>
  <c r="AL119" i="9" s="1"/>
  <c r="AE112" i="9"/>
  <c r="AF83" i="13"/>
  <c r="AE106" i="13"/>
  <c r="AB67" i="18"/>
  <c r="Y64" i="8"/>
  <c r="Y60" i="8"/>
  <c r="AF79" i="18"/>
  <c r="AE102" i="18"/>
  <c r="AG7" i="8"/>
  <c r="AF15" i="8"/>
  <c r="AF16" i="8"/>
  <c r="AF30" i="8"/>
  <c r="AF57" i="8"/>
  <c r="AF78" i="8"/>
  <c r="AF81" i="8"/>
  <c r="AE104" i="8"/>
  <c r="AB119" i="10"/>
  <c r="AB55" i="22" s="1"/>
  <c r="AB69" i="22" s="1"/>
  <c r="AB76" i="22" s="1"/>
  <c r="AB170" i="10" s="1"/>
  <c r="G141" i="4"/>
  <c r="AB52" i="4"/>
  <c r="AB54" i="4" s="1"/>
  <c r="AB21" i="4" s="1"/>
  <c r="AB66" i="4" s="1"/>
  <c r="G137" i="4"/>
  <c r="G138" i="4" s="1"/>
  <c r="Z126" i="18"/>
  <c r="Z58" i="18" s="1"/>
  <c r="Z59" i="18" s="1"/>
  <c r="AF80" i="18"/>
  <c r="AE103" i="18"/>
  <c r="Z9" i="15"/>
  <c r="AG43" i="22"/>
  <c r="AH115" i="10"/>
  <c r="AG161" i="10"/>
  <c r="AG148" i="10"/>
  <c r="AG167" i="10" s="1"/>
  <c r="V100" i="22"/>
  <c r="V91" i="22"/>
  <c r="AF81" i="13"/>
  <c r="AE104" i="13"/>
  <c r="M33" i="15"/>
  <c r="M44" i="15" s="1"/>
  <c r="M30" i="15"/>
  <c r="Y61" i="13"/>
  <c r="Y62" i="13"/>
  <c r="Y132" i="10"/>
  <c r="Y63" i="13"/>
  <c r="Y65" i="13" s="1"/>
  <c r="AF86" i="8"/>
  <c r="AE109" i="8"/>
  <c r="AF83" i="9"/>
  <c r="AE106" i="9"/>
  <c r="AF85" i="8"/>
  <c r="AE108" i="8"/>
  <c r="X63" i="13"/>
  <c r="X65" i="13" s="1"/>
  <c r="X62" i="13"/>
  <c r="X132" i="10"/>
  <c r="X61" i="13"/>
  <c r="Z126" i="13"/>
  <c r="Z58" i="13" s="1"/>
  <c r="Z59" i="13" s="1"/>
  <c r="AA118" i="18"/>
  <c r="AA124" i="18"/>
  <c r="AB113" i="18"/>
  <c r="AD113" i="18"/>
  <c r="AF113" i="18"/>
  <c r="AA115" i="18"/>
  <c r="AA117" i="18"/>
  <c r="AA119" i="18"/>
  <c r="AA121" i="18"/>
  <c r="AA123" i="18"/>
  <c r="AA113" i="18"/>
  <c r="AC113" i="18"/>
  <c r="AE113" i="18"/>
  <c r="AA114" i="18"/>
  <c r="AA116" i="18"/>
  <c r="AA120" i="18"/>
  <c r="AA122" i="18"/>
  <c r="Z126" i="8"/>
  <c r="Z58" i="8" s="1"/>
  <c r="Z59" i="8" s="1"/>
  <c r="AD18" i="18"/>
  <c r="AD28" i="18"/>
  <c r="AG7" i="18"/>
  <c r="AF16" i="18"/>
  <c r="AF15" i="18"/>
  <c r="AF17" i="18" s="1"/>
  <c r="AF57" i="18"/>
  <c r="AF78" i="18"/>
  <c r="AF30" i="18"/>
  <c r="AF82" i="18"/>
  <c r="AE105" i="18"/>
  <c r="AF84" i="18"/>
  <c r="AE107" i="18"/>
  <c r="AE17" i="8"/>
  <c r="AF79" i="8"/>
  <c r="AE102" i="8"/>
  <c r="AC50" i="9"/>
  <c r="AC51" i="9" s="1"/>
  <c r="AC67" i="9" s="1"/>
  <c r="AF83" i="18"/>
  <c r="AE106" i="18"/>
  <c r="AF84" i="9"/>
  <c r="AE107" i="9"/>
  <c r="AF85" i="4"/>
  <c r="AE108" i="4"/>
  <c r="AD38" i="4"/>
  <c r="AC49" i="4"/>
  <c r="AC52" i="4" s="1"/>
  <c r="AC54" i="4" s="1"/>
  <c r="AC21" i="4" s="1"/>
  <c r="AC66" i="4" s="1"/>
  <c r="AC43" i="4"/>
  <c r="AC119" i="10" s="1"/>
  <c r="AC55" i="22" s="1"/>
  <c r="AC69" i="22" s="1"/>
  <c r="AC76" i="22" s="1"/>
  <c r="AC170" i="10" s="1"/>
  <c r="N44" i="15"/>
  <c r="AF87" i="18"/>
  <c r="AE110" i="18"/>
  <c r="AF86" i="13"/>
  <c r="AE109" i="13"/>
  <c r="AF87" i="9"/>
  <c r="AE110" i="9"/>
  <c r="AF83" i="4"/>
  <c r="AE106" i="4"/>
  <c r="AF88" i="8"/>
  <c r="AE111" i="8"/>
  <c r="AF87" i="8"/>
  <c r="AE110" i="8"/>
  <c r="AF82" i="4"/>
  <c r="AE105" i="4"/>
  <c r="H94" i="9"/>
  <c r="H117" i="9"/>
  <c r="AF81" i="18"/>
  <c r="AE104" i="18"/>
  <c r="AC19" i="18"/>
  <c r="AC55" i="18"/>
  <c r="AF42" i="18"/>
  <c r="AE46" i="18"/>
  <c r="AE121" i="10" s="1"/>
  <c r="AE57" i="22" s="1"/>
  <c r="AE71" i="22" s="1"/>
  <c r="AE78" i="22" s="1"/>
  <c r="AE172" i="10" s="1"/>
  <c r="X89" i="22"/>
  <c r="X96" i="22" s="1"/>
  <c r="F113" i="10"/>
  <c r="X140" i="10"/>
  <c r="X157" i="10"/>
  <c r="X131" i="10"/>
  <c r="X61" i="18"/>
  <c r="X63" i="18"/>
  <c r="X65" i="18" s="1"/>
  <c r="X62" i="18"/>
  <c r="AF80" i="9"/>
  <c r="AE103" i="9"/>
  <c r="AF80" i="13"/>
  <c r="AE103" i="13"/>
  <c r="AF84" i="4"/>
  <c r="AE107" i="4"/>
  <c r="AF84" i="8"/>
  <c r="AE107" i="8"/>
  <c r="AF88" i="13"/>
  <c r="AE111" i="13"/>
  <c r="AF88" i="9"/>
  <c r="AE111" i="9"/>
  <c r="AF87" i="13"/>
  <c r="AE110" i="13"/>
  <c r="AF85" i="13"/>
  <c r="AE108" i="13"/>
  <c r="AF78" i="4"/>
  <c r="AE101" i="4"/>
  <c r="AF80" i="4"/>
  <c r="AE103" i="4"/>
  <c r="AF84" i="13"/>
  <c r="AE107" i="13"/>
  <c r="Z64" i="9"/>
  <c r="Z60" i="9"/>
  <c r="W86" i="22"/>
  <c r="W137" i="10"/>
  <c r="W128" i="10"/>
  <c r="H117" i="13"/>
  <c r="H94" i="13"/>
  <c r="AF82" i="13"/>
  <c r="AE105" i="13"/>
  <c r="AF75" i="4"/>
  <c r="AE98" i="4"/>
  <c r="AE17" i="4"/>
  <c r="AE18" i="4" s="1"/>
  <c r="AF79" i="9"/>
  <c r="AE102" i="9"/>
  <c r="AE17" i="9"/>
  <c r="AE17" i="13"/>
  <c r="V151" i="10"/>
  <c r="Z136" i="10"/>
  <c r="Z85" i="22"/>
  <c r="Z92" i="22" s="1"/>
  <c r="Z99" i="22" s="1"/>
  <c r="Z179" i="10" s="1"/>
  <c r="AD113" i="8"/>
  <c r="AA117" i="8"/>
  <c r="AA113" i="8"/>
  <c r="AC113" i="8"/>
  <c r="AE113" i="8"/>
  <c r="AA114" i="8"/>
  <c r="AA116" i="8"/>
  <c r="AA118" i="8"/>
  <c r="AA120" i="8"/>
  <c r="AA122" i="8"/>
  <c r="AA124" i="8"/>
  <c r="AA126" i="8" s="1"/>
  <c r="AA58" i="8" s="1"/>
  <c r="AA59" i="8" s="1"/>
  <c r="AB113" i="8"/>
  <c r="AF113" i="8"/>
  <c r="AA115" i="8"/>
  <c r="AA119" i="8"/>
  <c r="AA121" i="8"/>
  <c r="AA123" i="8"/>
  <c r="AC113" i="13"/>
  <c r="AA118" i="13"/>
  <c r="AA124" i="13"/>
  <c r="AB113" i="13"/>
  <c r="AD113" i="13"/>
  <c r="AF113" i="13"/>
  <c r="AA115" i="13"/>
  <c r="AA117" i="13"/>
  <c r="AA119" i="13"/>
  <c r="AA121" i="13"/>
  <c r="AA123" i="13"/>
  <c r="AA113" i="13"/>
  <c r="AE113" i="13"/>
  <c r="AA114" i="13"/>
  <c r="AA116" i="13"/>
  <c r="AA120" i="13"/>
  <c r="AA122" i="13"/>
  <c r="O13" i="15"/>
  <c r="O41" i="15"/>
  <c r="O27" i="15"/>
  <c r="O33" i="15" s="1"/>
  <c r="O44" i="15" s="1"/>
  <c r="O15" i="15"/>
  <c r="O37" i="15" s="1"/>
  <c r="AD19" i="8"/>
  <c r="AD50" i="8" s="1"/>
  <c r="AD55" i="8"/>
  <c r="AF80" i="8"/>
  <c r="AE103" i="8"/>
  <c r="X86" i="22"/>
  <c r="F110" i="10"/>
  <c r="X137" i="10"/>
  <c r="X128" i="10"/>
  <c r="U180" i="10"/>
  <c r="U178" i="10" s="1"/>
  <c r="U98" i="22"/>
  <c r="U48" i="22" s="1"/>
  <c r="AF77" i="4"/>
  <c r="AE100" i="4"/>
  <c r="AE42" i="13"/>
  <c r="AD46" i="13"/>
  <c r="AD122" i="10" s="1"/>
  <c r="AD58" i="22" s="1"/>
  <c r="AD72" i="22" s="1"/>
  <c r="AD79" i="22" s="1"/>
  <c r="AD173" i="10" s="1"/>
  <c r="H90" i="4"/>
  <c r="H113" i="4"/>
  <c r="AE18" i="18"/>
  <c r="AE28" i="18"/>
  <c r="AF81" i="9"/>
  <c r="AE104" i="9"/>
  <c r="Y64" i="18"/>
  <c r="Y60" i="18"/>
  <c r="AF82" i="8"/>
  <c r="AE105" i="8"/>
  <c r="AC50" i="18"/>
  <c r="AC51" i="18" s="1"/>
  <c r="AA114" i="9"/>
  <c r="AB113" i="9"/>
  <c r="AB126" i="9" s="1"/>
  <c r="AB58" i="9" s="1"/>
  <c r="AB59" i="9" s="1"/>
  <c r="AB64" i="9" s="1"/>
  <c r="AD113" i="9"/>
  <c r="AF113" i="9"/>
  <c r="AA115" i="9"/>
  <c r="AA117" i="9"/>
  <c r="AA119" i="9"/>
  <c r="AA121" i="9"/>
  <c r="AA123" i="9"/>
  <c r="AA113" i="9"/>
  <c r="AC113" i="9"/>
  <c r="AC126" i="9" s="1"/>
  <c r="AE113" i="9"/>
  <c r="AA116" i="9"/>
  <c r="AA118" i="9"/>
  <c r="AA120" i="9"/>
  <c r="AA122" i="9"/>
  <c r="AA124" i="9"/>
  <c r="W88" i="22"/>
  <c r="W95" i="22" s="1"/>
  <c r="W102" i="22" s="1"/>
  <c r="W182" i="10" s="1"/>
  <c r="W139" i="10"/>
  <c r="T182" i="10"/>
  <c r="T178" i="10" s="1"/>
  <c r="T98" i="22"/>
  <c r="T48" i="22" s="1"/>
  <c r="AF85" i="9"/>
  <c r="AE108" i="9"/>
  <c r="AF79" i="4"/>
  <c r="AE102" i="4"/>
  <c r="AD126" i="9"/>
  <c r="AF83" i="8"/>
  <c r="AE106" i="8"/>
  <c r="W157" i="10"/>
  <c r="AF82" i="9"/>
  <c r="AE105" i="9"/>
  <c r="AG7" i="4"/>
  <c r="AF15" i="4"/>
  <c r="AF16" i="4"/>
  <c r="AF24" i="4"/>
  <c r="AF56" i="4"/>
  <c r="AF74" i="4"/>
  <c r="AF20" i="4"/>
  <c r="AF76" i="4"/>
  <c r="AE99" i="4"/>
  <c r="I94" i="18"/>
  <c r="I117" i="18"/>
  <c r="AF85" i="18"/>
  <c r="AE108" i="18"/>
  <c r="AF15" i="9"/>
  <c r="AF78" i="9"/>
  <c r="AF16" i="9"/>
  <c r="AG7" i="9"/>
  <c r="AF30" i="9"/>
  <c r="AF57" i="9"/>
  <c r="AD19" i="9"/>
  <c r="AD55" i="9"/>
  <c r="AD50" i="9" s="1"/>
  <c r="AD51" i="9" s="1"/>
  <c r="AD67" i="9" s="1"/>
  <c r="AF79" i="13"/>
  <c r="AE102" i="13"/>
  <c r="AF15" i="13"/>
  <c r="AF30" i="13"/>
  <c r="AF57" i="13"/>
  <c r="AF78" i="13"/>
  <c r="AG7" i="13"/>
  <c r="AF16" i="13"/>
  <c r="AD19" i="13"/>
  <c r="AD55" i="13"/>
  <c r="AD50" i="13" s="1"/>
  <c r="AF86" i="9"/>
  <c r="AE109" i="9"/>
  <c r="AF86" i="18"/>
  <c r="AE109" i="18"/>
  <c r="I94" i="8"/>
  <c r="I117" i="8"/>
  <c r="AF88" i="18"/>
  <c r="AE111" i="18"/>
  <c r="AC51" i="13"/>
  <c r="AB67" i="13"/>
  <c r="N38" i="15"/>
  <c r="O17" i="15"/>
  <c r="X103" i="22"/>
  <c r="Z73" i="22"/>
  <c r="Z80" i="22" s="1"/>
  <c r="Z54" i="22"/>
  <c r="AB60" i="9"/>
  <c r="G136" i="9"/>
  <c r="G144" i="9"/>
  <c r="AB158" i="9"/>
  <c r="G135" i="9" s="1"/>
  <c r="AB123" i="10"/>
  <c r="AD42" i="9"/>
  <c r="AC46" i="9"/>
  <c r="AC58" i="9"/>
  <c r="AC59" i="9" s="1"/>
  <c r="AA59" i="22"/>
  <c r="AA118" i="10"/>
  <c r="Y174" i="10"/>
  <c r="Y169" i="10" s="1"/>
  <c r="Y75" i="22"/>
  <c r="Y45" i="22" s="1"/>
  <c r="Y96" i="22"/>
  <c r="W183" i="10"/>
  <c r="N42" i="15"/>
  <c r="O25" i="15"/>
  <c r="AC67" i="18" l="1"/>
  <c r="AB114" i="13"/>
  <c r="AD114" i="13"/>
  <c r="AF114" i="13"/>
  <c r="AC115" i="13"/>
  <c r="AE115" i="13"/>
  <c r="AG115" i="13"/>
  <c r="AB116" i="13"/>
  <c r="AD116" i="13"/>
  <c r="AF116" i="13"/>
  <c r="AH116" i="13"/>
  <c r="AC117" i="13"/>
  <c r="AE117" i="13"/>
  <c r="AG117" i="13"/>
  <c r="AI117" i="13"/>
  <c r="AB118" i="13"/>
  <c r="AD118" i="13"/>
  <c r="AF118" i="13"/>
  <c r="AH118" i="13"/>
  <c r="AJ118" i="13"/>
  <c r="AC119" i="13"/>
  <c r="AE119" i="13"/>
  <c r="AG119" i="13"/>
  <c r="AI119" i="13"/>
  <c r="AK119" i="13"/>
  <c r="AB120" i="13"/>
  <c r="AD120" i="13"/>
  <c r="AF120" i="13"/>
  <c r="AH120" i="13"/>
  <c r="AJ120" i="13"/>
  <c r="AL120" i="13"/>
  <c r="AC121" i="13"/>
  <c r="AE121" i="13"/>
  <c r="AG121" i="13"/>
  <c r="AI121" i="13"/>
  <c r="AK121" i="13"/>
  <c r="AB122" i="13"/>
  <c r="AD122" i="13"/>
  <c r="AF122" i="13"/>
  <c r="AH122" i="13"/>
  <c r="AJ122" i="13"/>
  <c r="AL122" i="13"/>
  <c r="AC123" i="13"/>
  <c r="AE123" i="13"/>
  <c r="AG123" i="13"/>
  <c r="AI123" i="13"/>
  <c r="AK123" i="13"/>
  <c r="AB124" i="13"/>
  <c r="AD124" i="13"/>
  <c r="AF124" i="13"/>
  <c r="AH124" i="13"/>
  <c r="AJ124" i="13"/>
  <c r="AL124" i="13"/>
  <c r="AC114" i="13"/>
  <c r="AG114" i="13"/>
  <c r="AD115" i="13"/>
  <c r="AF115" i="13"/>
  <c r="AE116" i="13"/>
  <c r="AI116" i="13"/>
  <c r="AB117" i="13"/>
  <c r="AD117" i="13"/>
  <c r="AH117" i="13"/>
  <c r="AJ117" i="13"/>
  <c r="AC118" i="13"/>
  <c r="AG118" i="13"/>
  <c r="AI118" i="13"/>
  <c r="AB119" i="13"/>
  <c r="AD119" i="13"/>
  <c r="AH119" i="13"/>
  <c r="AJ119" i="13"/>
  <c r="AC120" i="13"/>
  <c r="AG120" i="13"/>
  <c r="AI120" i="13"/>
  <c r="AB121" i="13"/>
  <c r="AD121" i="13"/>
  <c r="AH121" i="13"/>
  <c r="AL121" i="13"/>
  <c r="AC122" i="13"/>
  <c r="AG122" i="13"/>
  <c r="AK122" i="13"/>
  <c r="AB123" i="13"/>
  <c r="AF123" i="13"/>
  <c r="AH123" i="13"/>
  <c r="AL123" i="13"/>
  <c r="AE124" i="13"/>
  <c r="AE126" i="13" s="1"/>
  <c r="AE58" i="13" s="1"/>
  <c r="AE59" i="13" s="1"/>
  <c r="AG124" i="13"/>
  <c r="AK124" i="13"/>
  <c r="AE114" i="13"/>
  <c r="AB115" i="13"/>
  <c r="AH115" i="13"/>
  <c r="AC116" i="13"/>
  <c r="AG116" i="13"/>
  <c r="AF117" i="13"/>
  <c r="AE118" i="13"/>
  <c r="AK118" i="13"/>
  <c r="AF119" i="13"/>
  <c r="AL119" i="13"/>
  <c r="AE120" i="13"/>
  <c r="AK120" i="13"/>
  <c r="AF121" i="13"/>
  <c r="AJ121" i="13"/>
  <c r="AE122" i="13"/>
  <c r="AI122" i="13"/>
  <c r="AD123" i="13"/>
  <c r="AJ123" i="13"/>
  <c r="AC124" i="13"/>
  <c r="AI124" i="13"/>
  <c r="AG79" i="13"/>
  <c r="AF102" i="13"/>
  <c r="AG79" i="9"/>
  <c r="AF102" i="9"/>
  <c r="AH7" i="4"/>
  <c r="AG15" i="4"/>
  <c r="AG16" i="4"/>
  <c r="AG20" i="4"/>
  <c r="AG56" i="4"/>
  <c r="AG74" i="4"/>
  <c r="AG24" i="4"/>
  <c r="AG83" i="9"/>
  <c r="AF106" i="9"/>
  <c r="AG80" i="4"/>
  <c r="AF103" i="4"/>
  <c r="AG82" i="9"/>
  <c r="AF105" i="9"/>
  <c r="AF42" i="13"/>
  <c r="AE46" i="13"/>
  <c r="AE122" i="10" s="1"/>
  <c r="AE58" i="22" s="1"/>
  <c r="AE72" i="22" s="1"/>
  <c r="AE79" i="22" s="1"/>
  <c r="AE173" i="10" s="1"/>
  <c r="AG78" i="4"/>
  <c r="AF101" i="4"/>
  <c r="AG81" i="8"/>
  <c r="AF104" i="8"/>
  <c r="AA126" i="13"/>
  <c r="AA58" i="13" s="1"/>
  <c r="AA59" i="13" s="1"/>
  <c r="AC67" i="13"/>
  <c r="AD51" i="13"/>
  <c r="AG89" i="18"/>
  <c r="AF112" i="18"/>
  <c r="I95" i="8"/>
  <c r="I118" i="8"/>
  <c r="AG87" i="18"/>
  <c r="AF110" i="18"/>
  <c r="AG87" i="9"/>
  <c r="AF110" i="9"/>
  <c r="AH7" i="13"/>
  <c r="AG15" i="13"/>
  <c r="AG16" i="13"/>
  <c r="AG30" i="13"/>
  <c r="AG57" i="13"/>
  <c r="AG78" i="13"/>
  <c r="AF17" i="13"/>
  <c r="AG80" i="13"/>
  <c r="AF103" i="13"/>
  <c r="AF17" i="9"/>
  <c r="AG86" i="18"/>
  <c r="AF109" i="18"/>
  <c r="I118" i="18"/>
  <c r="I95" i="18"/>
  <c r="AG77" i="4"/>
  <c r="AF100" i="4"/>
  <c r="AG75" i="4"/>
  <c r="AF98" i="4"/>
  <c r="AF17" i="4"/>
  <c r="AF18" i="4" s="1"/>
  <c r="W163" i="10"/>
  <c r="P10" i="15"/>
  <c r="AG84" i="8"/>
  <c r="AF107" i="8"/>
  <c r="AA126" i="9"/>
  <c r="AA58" i="9" s="1"/>
  <c r="AA59" i="9" s="1"/>
  <c r="Y63" i="18"/>
  <c r="Y65" i="18" s="1"/>
  <c r="Y62" i="18"/>
  <c r="Y131" i="10"/>
  <c r="Y61" i="18"/>
  <c r="X146" i="10"/>
  <c r="X10" i="11"/>
  <c r="AE18" i="13"/>
  <c r="AE28" i="13"/>
  <c r="AE126" i="9"/>
  <c r="H95" i="13"/>
  <c r="H118" i="13"/>
  <c r="W10" i="11"/>
  <c r="W146" i="10"/>
  <c r="W93" i="22"/>
  <c r="W84" i="22"/>
  <c r="AG85" i="13"/>
  <c r="AF108" i="13"/>
  <c r="AG81" i="4"/>
  <c r="AF104" i="4"/>
  <c r="AG79" i="4"/>
  <c r="AF102" i="4"/>
  <c r="AG86" i="13"/>
  <c r="AF109" i="13"/>
  <c r="AG88" i="13"/>
  <c r="AF111" i="13"/>
  <c r="AG89" i="9"/>
  <c r="AF112" i="9"/>
  <c r="AG89" i="13"/>
  <c r="AF112" i="13"/>
  <c r="AG85" i="8"/>
  <c r="AF108" i="8"/>
  <c r="AG85" i="4"/>
  <c r="AF108" i="4"/>
  <c r="AG81" i="13"/>
  <c r="AF104" i="13"/>
  <c r="AG81" i="9"/>
  <c r="AF104" i="9"/>
  <c r="F111" i="10"/>
  <c r="X87" i="22"/>
  <c r="X94" i="22" s="1"/>
  <c r="X101" i="22" s="1"/>
  <c r="X181" i="10" s="1"/>
  <c r="X138" i="10"/>
  <c r="X135" i="10" s="1"/>
  <c r="AG42" i="18"/>
  <c r="AF46" i="18"/>
  <c r="AF121" i="10" s="1"/>
  <c r="AF57" i="22" s="1"/>
  <c r="AF71" i="22" s="1"/>
  <c r="AF78" i="22" s="1"/>
  <c r="AF172" i="10" s="1"/>
  <c r="AG82" i="18"/>
  <c r="AF105" i="18"/>
  <c r="H95" i="9"/>
  <c r="H118" i="9"/>
  <c r="AG83" i="4"/>
  <c r="AF106" i="4"/>
  <c r="AG88" i="8"/>
  <c r="AF111" i="8"/>
  <c r="AG89" i="8"/>
  <c r="AF112" i="8"/>
  <c r="AG84" i="4"/>
  <c r="AF107" i="4"/>
  <c r="AG88" i="9"/>
  <c r="AF111" i="9"/>
  <c r="AG87" i="13"/>
  <c r="AF110" i="13"/>
  <c r="AG88" i="18"/>
  <c r="AF111" i="18"/>
  <c r="AE38" i="4"/>
  <c r="AD49" i="4"/>
  <c r="AD52" i="4" s="1"/>
  <c r="AD54" i="4" s="1"/>
  <c r="AD21" i="4" s="1"/>
  <c r="AD66" i="4" s="1"/>
  <c r="AD43" i="4"/>
  <c r="AD119" i="10" s="1"/>
  <c r="AD55" i="22" s="1"/>
  <c r="AD69" i="22" s="1"/>
  <c r="AD76" i="22" s="1"/>
  <c r="AD170" i="10" s="1"/>
  <c r="AG86" i="4"/>
  <c r="AH87" i="4" s="1"/>
  <c r="AI88" i="4" s="1"/>
  <c r="AJ89" i="4" s="1"/>
  <c r="AK90" i="4" s="1"/>
  <c r="AL91" i="4" s="1"/>
  <c r="AF109" i="4"/>
  <c r="AG85" i="9"/>
  <c r="AF108" i="9"/>
  <c r="AG84" i="18"/>
  <c r="AF107" i="18"/>
  <c r="AG80" i="8"/>
  <c r="AF103" i="8"/>
  <c r="Z64" i="8"/>
  <c r="Z60" i="8"/>
  <c r="Z64" i="13"/>
  <c r="Z60" i="13"/>
  <c r="X88" i="22"/>
  <c r="X95" i="22" s="1"/>
  <c r="X102" i="22" s="1"/>
  <c r="X182" i="10" s="1"/>
  <c r="X139" i="10"/>
  <c r="F112" i="10"/>
  <c r="AG86" i="8"/>
  <c r="AF109" i="8"/>
  <c r="AG84" i="9"/>
  <c r="AF107" i="9"/>
  <c r="AG87" i="8"/>
  <c r="AF110" i="8"/>
  <c r="Y139" i="10"/>
  <c r="Y88" i="22"/>
  <c r="Y95" i="22" s="1"/>
  <c r="Y102" i="22" s="1"/>
  <c r="Y182" i="10" s="1"/>
  <c r="AG82" i="13"/>
  <c r="AF105" i="13"/>
  <c r="AA9" i="15"/>
  <c r="AH43" i="22"/>
  <c r="AI115" i="10"/>
  <c r="AH148" i="10"/>
  <c r="AH167" i="10" s="1"/>
  <c r="AH161" i="10"/>
  <c r="AG81" i="18"/>
  <c r="AF104" i="18"/>
  <c r="AG79" i="8"/>
  <c r="AF102" i="8"/>
  <c r="AF17" i="8"/>
  <c r="Y62" i="8"/>
  <c r="Y61" i="8"/>
  <c r="Y63" i="8"/>
  <c r="Y65" i="8" s="1"/>
  <c r="Y157" i="10" s="1"/>
  <c r="Y130" i="10"/>
  <c r="AC114" i="18"/>
  <c r="AE114" i="18"/>
  <c r="AG114" i="18"/>
  <c r="AB115" i="18"/>
  <c r="AD115" i="18"/>
  <c r="AF115" i="18"/>
  <c r="AH115" i="18"/>
  <c r="AC116" i="18"/>
  <c r="AE116" i="18"/>
  <c r="AG116" i="18"/>
  <c r="AI116" i="18"/>
  <c r="AB117" i="18"/>
  <c r="AD117" i="18"/>
  <c r="AF117" i="18"/>
  <c r="AH117" i="18"/>
  <c r="AJ117" i="18"/>
  <c r="AC118" i="18"/>
  <c r="AE118" i="18"/>
  <c r="AG118" i="18"/>
  <c r="AI118" i="18"/>
  <c r="AK118" i="18"/>
  <c r="AB119" i="18"/>
  <c r="AD119" i="18"/>
  <c r="AF119" i="18"/>
  <c r="AH119" i="18"/>
  <c r="AJ119" i="18"/>
  <c r="AL119" i="18"/>
  <c r="AC120" i="18"/>
  <c r="AE120" i="18"/>
  <c r="AG120" i="18"/>
  <c r="AI120" i="18"/>
  <c r="AK120" i="18"/>
  <c r="AB121" i="18"/>
  <c r="AD121" i="18"/>
  <c r="AF121" i="18"/>
  <c r="AH121" i="18"/>
  <c r="AJ121" i="18"/>
  <c r="AL121" i="18"/>
  <c r="AC122" i="18"/>
  <c r="AE122" i="18"/>
  <c r="AG122" i="18"/>
  <c r="AI122" i="18"/>
  <c r="AK122" i="18"/>
  <c r="AB123" i="18"/>
  <c r="AD123" i="18"/>
  <c r="AF123" i="18"/>
  <c r="AH123" i="18"/>
  <c r="AJ123" i="18"/>
  <c r="AL123" i="18"/>
  <c r="AC124" i="18"/>
  <c r="AE124" i="18"/>
  <c r="AG124" i="18"/>
  <c r="AI124" i="18"/>
  <c r="AK124" i="18"/>
  <c r="AB114" i="18"/>
  <c r="AF114" i="18"/>
  <c r="AC115" i="18"/>
  <c r="AG115" i="18"/>
  <c r="AB116" i="18"/>
  <c r="AD116" i="18"/>
  <c r="AH116" i="18"/>
  <c r="AC117" i="18"/>
  <c r="AE117" i="18"/>
  <c r="AI117" i="18"/>
  <c r="AD118" i="18"/>
  <c r="AF118" i="18"/>
  <c r="AJ118" i="18"/>
  <c r="AE119" i="18"/>
  <c r="AG119" i="18"/>
  <c r="AK119" i="18"/>
  <c r="AD120" i="18"/>
  <c r="AF120" i="18"/>
  <c r="AJ120" i="18"/>
  <c r="AL120" i="18"/>
  <c r="AC121" i="18"/>
  <c r="AG121" i="18"/>
  <c r="AK121" i="18"/>
  <c r="AB122" i="18"/>
  <c r="AF122" i="18"/>
  <c r="AJ122" i="18"/>
  <c r="AC123" i="18"/>
  <c r="AE123" i="18"/>
  <c r="AI123" i="18"/>
  <c r="AK123" i="18"/>
  <c r="AD124" i="18"/>
  <c r="AF124" i="18"/>
  <c r="AH124" i="18"/>
  <c r="AL124" i="18"/>
  <c r="AD114" i="18"/>
  <c r="AE115" i="18"/>
  <c r="AF116" i="18"/>
  <c r="AG117" i="18"/>
  <c r="AB118" i="18"/>
  <c r="AH118" i="18"/>
  <c r="AC119" i="18"/>
  <c r="AI119" i="18"/>
  <c r="AB120" i="18"/>
  <c r="AH120" i="18"/>
  <c r="AE121" i="18"/>
  <c r="AI121" i="18"/>
  <c r="AD122" i="18"/>
  <c r="AH122" i="18"/>
  <c r="AL122" i="18"/>
  <c r="AG123" i="18"/>
  <c r="AB124" i="18"/>
  <c r="AB126" i="18" s="1"/>
  <c r="AB58" i="18" s="1"/>
  <c r="AB59" i="18" s="1"/>
  <c r="AJ124" i="18"/>
  <c r="AH42" i="8"/>
  <c r="AG46" i="8"/>
  <c r="AG120" i="10" s="1"/>
  <c r="AG56" i="22" s="1"/>
  <c r="AG70" i="22" s="1"/>
  <c r="AG77" i="22" s="1"/>
  <c r="AG171" i="10" s="1"/>
  <c r="AC67" i="8"/>
  <c r="AD51" i="8"/>
  <c r="AA136" i="10"/>
  <c r="AA85" i="22"/>
  <c r="AA92" i="22" s="1"/>
  <c r="AA99" i="22" s="1"/>
  <c r="AA179" i="10" s="1"/>
  <c r="AH7" i="9"/>
  <c r="AG15" i="9"/>
  <c r="AG16" i="9"/>
  <c r="AG30" i="9"/>
  <c r="AG57" i="9"/>
  <c r="AG78" i="9"/>
  <c r="AG86" i="9"/>
  <c r="AF109" i="9"/>
  <c r="AG83" i="8"/>
  <c r="AF106" i="8"/>
  <c r="AE19" i="18"/>
  <c r="AE50" i="18" s="1"/>
  <c r="AE55" i="18"/>
  <c r="H114" i="4"/>
  <c r="H91" i="4"/>
  <c r="X93" i="22"/>
  <c r="X84" i="22"/>
  <c r="AA64" i="8"/>
  <c r="AA60" i="8"/>
  <c r="AE18" i="9"/>
  <c r="AE28" i="9"/>
  <c r="AG80" i="9"/>
  <c r="AF103" i="9"/>
  <c r="AE126" i="10"/>
  <c r="AE19" i="4"/>
  <c r="AG76" i="4"/>
  <c r="AF99" i="4"/>
  <c r="AG83" i="13"/>
  <c r="AF106" i="13"/>
  <c r="W135" i="10"/>
  <c r="W152" i="10" s="1"/>
  <c r="Z61" i="9"/>
  <c r="Z62" i="9"/>
  <c r="Z133" i="10"/>
  <c r="Z63" i="9"/>
  <c r="Z65" i="9" s="1"/>
  <c r="Q10" i="15"/>
  <c r="X163" i="10"/>
  <c r="AE18" i="8"/>
  <c r="AE28" i="8"/>
  <c r="AG85" i="18"/>
  <c r="AF108" i="18"/>
  <c r="AG83" i="18"/>
  <c r="AF106" i="18"/>
  <c r="AG79" i="18"/>
  <c r="AF102" i="18"/>
  <c r="AF18" i="18"/>
  <c r="AF28" i="18"/>
  <c r="AH7" i="18"/>
  <c r="AG15" i="18"/>
  <c r="AG16" i="18"/>
  <c r="AG30" i="18"/>
  <c r="AG57" i="18"/>
  <c r="AG78" i="18"/>
  <c r="AD19" i="18"/>
  <c r="AD50" i="18" s="1"/>
  <c r="AD51" i="18" s="1"/>
  <c r="AD55" i="18"/>
  <c r="AA126" i="18"/>
  <c r="AA58" i="18" s="1"/>
  <c r="AA59" i="18" s="1"/>
  <c r="N30" i="15"/>
  <c r="M34" i="15"/>
  <c r="M45" i="15" s="1"/>
  <c r="V180" i="10"/>
  <c r="V178" i="10" s="1"/>
  <c r="V98" i="22"/>
  <c r="V48" i="22" s="1"/>
  <c r="AG68" i="22"/>
  <c r="AG82" i="22"/>
  <c r="Z60" i="18"/>
  <c r="Z64" i="18"/>
  <c r="AB110" i="4"/>
  <c r="AD110" i="4"/>
  <c r="AF110" i="4"/>
  <c r="AC111" i="4"/>
  <c r="AE111" i="4"/>
  <c r="AG111" i="4"/>
  <c r="AB112" i="4"/>
  <c r="AD112" i="4"/>
  <c r="AF112" i="4"/>
  <c r="AH112" i="4"/>
  <c r="AC113" i="4"/>
  <c r="AE113" i="4"/>
  <c r="AG113" i="4"/>
  <c r="AI113" i="4"/>
  <c r="AB114" i="4"/>
  <c r="AD114" i="4"/>
  <c r="AF114" i="4"/>
  <c r="AH114" i="4"/>
  <c r="AJ114" i="4"/>
  <c r="AC115" i="4"/>
  <c r="AE115" i="4"/>
  <c r="AG115" i="4"/>
  <c r="AI115" i="4"/>
  <c r="AK115" i="4"/>
  <c r="AB116" i="4"/>
  <c r="AD116" i="4"/>
  <c r="AF116" i="4"/>
  <c r="AH116" i="4"/>
  <c r="AJ116" i="4"/>
  <c r="AL116" i="4"/>
  <c r="AC117" i="4"/>
  <c r="AE117" i="4"/>
  <c r="AG117" i="4"/>
  <c r="AI117" i="4"/>
  <c r="AK117" i="4"/>
  <c r="AB118" i="4"/>
  <c r="AD118" i="4"/>
  <c r="AF118" i="4"/>
  <c r="AH118" i="4"/>
  <c r="AJ118" i="4"/>
  <c r="AL118" i="4"/>
  <c r="AC119" i="4"/>
  <c r="AE119" i="4"/>
  <c r="AG119" i="4"/>
  <c r="AI119" i="4"/>
  <c r="AK119" i="4"/>
  <c r="AB120" i="4"/>
  <c r="AD120" i="4"/>
  <c r="AF120" i="4"/>
  <c r="AH120" i="4"/>
  <c r="AJ120" i="4"/>
  <c r="AL120" i="4"/>
  <c r="AC110" i="4"/>
  <c r="AE110" i="4"/>
  <c r="AE122" i="4" s="1"/>
  <c r="AE57" i="4" s="1"/>
  <c r="AE58" i="4" s="1"/>
  <c r="AE59" i="4" s="1"/>
  <c r="AG110" i="4"/>
  <c r="AB111" i="4"/>
  <c r="AD111" i="4"/>
  <c r="AF111" i="4"/>
  <c r="AH111" i="4"/>
  <c r="AC112" i="4"/>
  <c r="AE112" i="4"/>
  <c r="AG112" i="4"/>
  <c r="AI112" i="4"/>
  <c r="AB113" i="4"/>
  <c r="AD113" i="4"/>
  <c r="AF113" i="4"/>
  <c r="AH113" i="4"/>
  <c r="AJ113" i="4"/>
  <c r="AC114" i="4"/>
  <c r="AE114" i="4"/>
  <c r="AG114" i="4"/>
  <c r="AI114" i="4"/>
  <c r="AK114" i="4"/>
  <c r="AB115" i="4"/>
  <c r="AD115" i="4"/>
  <c r="AF115" i="4"/>
  <c r="AH115" i="4"/>
  <c r="AJ115" i="4"/>
  <c r="AL115" i="4"/>
  <c r="AC116" i="4"/>
  <c r="AE116" i="4"/>
  <c r="AG116" i="4"/>
  <c r="AI116" i="4"/>
  <c r="AK116" i="4"/>
  <c r="AB117" i="4"/>
  <c r="AD117" i="4"/>
  <c r="AF117" i="4"/>
  <c r="AH117" i="4"/>
  <c r="AJ117" i="4"/>
  <c r="AL117" i="4"/>
  <c r="AC118" i="4"/>
  <c r="AE118" i="4"/>
  <c r="AG118" i="4"/>
  <c r="AI118" i="4"/>
  <c r="AK118" i="4"/>
  <c r="AB119" i="4"/>
  <c r="AD119" i="4"/>
  <c r="AF119" i="4"/>
  <c r="AH119" i="4"/>
  <c r="AJ119" i="4"/>
  <c r="AL119" i="4"/>
  <c r="AC120" i="4"/>
  <c r="AE120" i="4"/>
  <c r="AG120" i="4"/>
  <c r="AI120" i="4"/>
  <c r="AK120" i="4"/>
  <c r="AG82" i="8"/>
  <c r="AF105" i="8"/>
  <c r="AG57" i="8"/>
  <c r="AG78" i="8"/>
  <c r="AG16" i="8"/>
  <c r="AH7" i="8"/>
  <c r="AG15" i="8"/>
  <c r="AG17" i="8" s="1"/>
  <c r="AG30" i="8"/>
  <c r="AG80" i="18"/>
  <c r="AF103" i="18"/>
  <c r="AG84" i="13"/>
  <c r="AF107" i="13"/>
  <c r="AG82" i="4"/>
  <c r="AF105" i="4"/>
  <c r="AK118" i="9"/>
  <c r="AJ117" i="9"/>
  <c r="AI116" i="9"/>
  <c r="AH115" i="9"/>
  <c r="AG114" i="9"/>
  <c r="V142" i="10"/>
  <c r="V144" i="10" s="1"/>
  <c r="V149" i="10"/>
  <c r="V153" i="10"/>
  <c r="V150" i="10"/>
  <c r="AB114" i="8"/>
  <c r="AD114" i="8"/>
  <c r="AF114" i="8"/>
  <c r="AC115" i="8"/>
  <c r="AE115" i="8"/>
  <c r="AG115" i="8"/>
  <c r="AB116" i="8"/>
  <c r="AD116" i="8"/>
  <c r="AF116" i="8"/>
  <c r="AH116" i="8"/>
  <c r="AC117" i="8"/>
  <c r="AE117" i="8"/>
  <c r="AG117" i="8"/>
  <c r="AI117" i="8"/>
  <c r="AB118" i="8"/>
  <c r="AD118" i="8"/>
  <c r="AF118" i="8"/>
  <c r="AH118" i="8"/>
  <c r="AJ118" i="8"/>
  <c r="AC119" i="8"/>
  <c r="AE119" i="8"/>
  <c r="AG119" i="8"/>
  <c r="AI119" i="8"/>
  <c r="AK119" i="8"/>
  <c r="AB120" i="8"/>
  <c r="AD120" i="8"/>
  <c r="AF120" i="8"/>
  <c r="AH120" i="8"/>
  <c r="AJ120" i="8"/>
  <c r="AL120" i="8"/>
  <c r="AC121" i="8"/>
  <c r="AE121" i="8"/>
  <c r="AG121" i="8"/>
  <c r="AI121" i="8"/>
  <c r="AK121" i="8"/>
  <c r="AB122" i="8"/>
  <c r="AD122" i="8"/>
  <c r="AF122" i="8"/>
  <c r="AH122" i="8"/>
  <c r="AJ122" i="8"/>
  <c r="AL122" i="8"/>
  <c r="AC123" i="8"/>
  <c r="AE123" i="8"/>
  <c r="AG123" i="8"/>
  <c r="AI123" i="8"/>
  <c r="AK123" i="8"/>
  <c r="AB124" i="8"/>
  <c r="AD124" i="8"/>
  <c r="AF124" i="8"/>
  <c r="AH124" i="8"/>
  <c r="AJ124" i="8"/>
  <c r="AL124" i="8"/>
  <c r="AC114" i="8"/>
  <c r="AF115" i="8"/>
  <c r="AC116" i="8"/>
  <c r="AE116" i="8"/>
  <c r="AI116" i="8"/>
  <c r="AD117" i="8"/>
  <c r="AH117" i="8"/>
  <c r="AC118" i="8"/>
  <c r="AG118" i="8"/>
  <c r="AI118" i="8"/>
  <c r="AB119" i="8"/>
  <c r="AD119" i="8"/>
  <c r="AH119" i="8"/>
  <c r="AJ119" i="8"/>
  <c r="AC120" i="8"/>
  <c r="AG120" i="8"/>
  <c r="AI120" i="8"/>
  <c r="AB121" i="8"/>
  <c r="AD121" i="8"/>
  <c r="AH121" i="8"/>
  <c r="AJ121" i="8"/>
  <c r="AC122" i="8"/>
  <c r="AG122" i="8"/>
  <c r="AI122" i="8"/>
  <c r="AB123" i="8"/>
  <c r="AF123" i="8"/>
  <c r="AH123" i="8"/>
  <c r="AL123" i="8"/>
  <c r="AE124" i="8"/>
  <c r="AG124" i="8"/>
  <c r="AK124" i="8"/>
  <c r="AE114" i="8"/>
  <c r="AG114" i="8"/>
  <c r="AB115" i="8"/>
  <c r="AD115" i="8"/>
  <c r="AH115" i="8"/>
  <c r="AG116" i="8"/>
  <c r="AB117" i="8"/>
  <c r="AF117" i="8"/>
  <c r="AJ117" i="8"/>
  <c r="AE118" i="8"/>
  <c r="AK118" i="8"/>
  <c r="AF119" i="8"/>
  <c r="AL119" i="8"/>
  <c r="AE120" i="8"/>
  <c r="AK120" i="8"/>
  <c r="AF121" i="8"/>
  <c r="AL121" i="8"/>
  <c r="AE122" i="8"/>
  <c r="AK122" i="8"/>
  <c r="AD123" i="8"/>
  <c r="AJ123" i="8"/>
  <c r="AC124" i="8"/>
  <c r="AC126" i="8" s="1"/>
  <c r="AC58" i="8" s="1"/>
  <c r="AC59" i="8" s="1"/>
  <c r="AI124" i="8"/>
  <c r="O42" i="15"/>
  <c r="P25" i="15"/>
  <c r="Y103" i="22"/>
  <c r="AA73" i="22"/>
  <c r="AA80" i="22" s="1"/>
  <c r="AA54" i="22"/>
  <c r="AC60" i="9"/>
  <c r="AC64" i="9"/>
  <c r="AC158" i="9"/>
  <c r="AC123" i="10"/>
  <c r="AE42" i="9"/>
  <c r="AD46" i="9"/>
  <c r="AD58" i="9"/>
  <c r="AD59" i="9" s="1"/>
  <c r="AB59" i="22"/>
  <c r="AB118" i="10"/>
  <c r="AB61" i="9"/>
  <c r="AB62" i="9"/>
  <c r="AB63" i="9"/>
  <c r="AB65" i="9" s="1"/>
  <c r="G145" i="9"/>
  <c r="G146" i="9" s="1"/>
  <c r="AB133" i="10"/>
  <c r="Z174" i="10"/>
  <c r="Z169" i="10" s="1"/>
  <c r="Z75" i="22"/>
  <c r="Z45" i="22" s="1"/>
  <c r="X183" i="10"/>
  <c r="O38" i="15"/>
  <c r="G137" i="9"/>
  <c r="AE51" i="18" l="1"/>
  <c r="AD67" i="18"/>
  <c r="X149" i="10"/>
  <c r="G109" i="10" s="1"/>
  <c r="X142" i="10"/>
  <c r="X150" i="10"/>
  <c r="G110" i="10" s="1"/>
  <c r="X153" i="10"/>
  <c r="G113" i="10" s="1"/>
  <c r="AC60" i="8"/>
  <c r="AC64" i="8"/>
  <c r="AF126" i="8"/>
  <c r="AF58" i="8" s="1"/>
  <c r="AF59" i="8" s="1"/>
  <c r="AH83" i="4"/>
  <c r="AG106" i="4"/>
  <c r="AH85" i="13"/>
  <c r="AG108" i="13"/>
  <c r="AH81" i="18"/>
  <c r="AG104" i="18"/>
  <c r="AH83" i="8"/>
  <c r="AG106" i="8"/>
  <c r="AC122" i="4"/>
  <c r="AC57" i="4" s="1"/>
  <c r="AC58" i="4" s="1"/>
  <c r="AC59" i="4" s="1"/>
  <c r="AC60" i="4" s="1"/>
  <c r="AA60" i="18"/>
  <c r="AA64" i="18"/>
  <c r="AF19" i="18"/>
  <c r="AF55" i="18"/>
  <c r="AH84" i="18"/>
  <c r="AG107" i="18"/>
  <c r="AE19" i="8"/>
  <c r="AE55" i="8"/>
  <c r="Q15" i="15"/>
  <c r="Q37" i="15" s="1"/>
  <c r="Q41" i="15"/>
  <c r="Z89" i="22"/>
  <c r="Z96" i="22" s="1"/>
  <c r="Z140" i="10"/>
  <c r="AH84" i="13"/>
  <c r="AG107" i="13"/>
  <c r="AH77" i="4"/>
  <c r="AG100" i="4"/>
  <c r="AH81" i="9"/>
  <c r="AG104" i="9"/>
  <c r="AE19" i="9"/>
  <c r="AE55" i="9"/>
  <c r="AE126" i="8"/>
  <c r="AE58" i="8" s="1"/>
  <c r="AE59" i="8" s="1"/>
  <c r="AD126" i="8"/>
  <c r="AD58" i="8" s="1"/>
  <c r="AD59" i="8" s="1"/>
  <c r="AI7" i="8"/>
  <c r="AH15" i="8"/>
  <c r="AH16" i="8"/>
  <c r="AH30" i="8"/>
  <c r="AH57" i="8"/>
  <c r="AH78" i="8"/>
  <c r="AH79" i="8"/>
  <c r="AG102" i="8"/>
  <c r="Z62" i="18"/>
  <c r="Z131" i="10"/>
  <c r="Z63" i="18"/>
  <c r="Z65" i="18" s="1"/>
  <c r="Z61" i="18"/>
  <c r="O30" i="15"/>
  <c r="O34" i="15" s="1"/>
  <c r="O45" i="15" s="1"/>
  <c r="N34" i="15"/>
  <c r="N45" i="15" s="1"/>
  <c r="AH79" i="18"/>
  <c r="AG102" i="18"/>
  <c r="AG17" i="18"/>
  <c r="AF50" i="18"/>
  <c r="AE50" i="8"/>
  <c r="AE51" i="8" s="1"/>
  <c r="W150" i="10"/>
  <c r="AA61" i="8"/>
  <c r="AA62" i="8"/>
  <c r="AA130" i="10"/>
  <c r="AA63" i="8"/>
  <c r="AA65" i="8" s="1"/>
  <c r="H92" i="4"/>
  <c r="H115" i="4"/>
  <c r="AH79" i="9"/>
  <c r="AG102" i="9"/>
  <c r="AG17" i="9"/>
  <c r="AD67" i="8"/>
  <c r="AD126" i="18"/>
  <c r="AD58" i="18" s="1"/>
  <c r="AD59" i="18" s="1"/>
  <c r="AE126" i="18"/>
  <c r="AE58" i="18" s="1"/>
  <c r="AE59" i="18" s="1"/>
  <c r="R10" i="15"/>
  <c r="Y163" i="10"/>
  <c r="AH82" i="18"/>
  <c r="AG105" i="18"/>
  <c r="AH68" i="22"/>
  <c r="AH82" i="22"/>
  <c r="AF38" i="4"/>
  <c r="AE49" i="4"/>
  <c r="AE52" i="4" s="1"/>
  <c r="AE54" i="4" s="1"/>
  <c r="AE21" i="4" s="1"/>
  <c r="AE66" i="4" s="1"/>
  <c r="AE43" i="4"/>
  <c r="AE119" i="10" s="1"/>
  <c r="AE55" i="22" s="1"/>
  <c r="AE69" i="22" s="1"/>
  <c r="AE76" i="22" s="1"/>
  <c r="AE170" i="10" s="1"/>
  <c r="AH89" i="18"/>
  <c r="AG112" i="18"/>
  <c r="AH88" i="13"/>
  <c r="AG111" i="13"/>
  <c r="AH89" i="9"/>
  <c r="AG112" i="9"/>
  <c r="AH85" i="4"/>
  <c r="AG108" i="4"/>
  <c r="AH90" i="8"/>
  <c r="AG113" i="8"/>
  <c r="AH89" i="8"/>
  <c r="AG112" i="8"/>
  <c r="AH84" i="4"/>
  <c r="AG107" i="4"/>
  <c r="H96" i="9"/>
  <c r="H119" i="9"/>
  <c r="AH83" i="18"/>
  <c r="AG106" i="18"/>
  <c r="AG46" i="18"/>
  <c r="AG121" i="10" s="1"/>
  <c r="AG57" i="22" s="1"/>
  <c r="AG71" i="22" s="1"/>
  <c r="AG78" i="22" s="1"/>
  <c r="AG172" i="10" s="1"/>
  <c r="AH42" i="18"/>
  <c r="Y87" i="22"/>
  <c r="Y94" i="22" s="1"/>
  <c r="Y101" i="22" s="1"/>
  <c r="Y181" i="10" s="1"/>
  <c r="Y138" i="10"/>
  <c r="AH85" i="8"/>
  <c r="AG108" i="8"/>
  <c r="AF122" i="4"/>
  <c r="AF57" i="4" s="1"/>
  <c r="AF58" i="4" s="1"/>
  <c r="AF59" i="4" s="1"/>
  <c r="I96" i="18"/>
  <c r="I119" i="18"/>
  <c r="AF18" i="9"/>
  <c r="AF28" i="9"/>
  <c r="AH81" i="13"/>
  <c r="AG104" i="13"/>
  <c r="AH79" i="13"/>
  <c r="AG102" i="13"/>
  <c r="AG17" i="13"/>
  <c r="AD67" i="13"/>
  <c r="AA64" i="13"/>
  <c r="AA60" i="13"/>
  <c r="AH82" i="8"/>
  <c r="AG105" i="8"/>
  <c r="AI7" i="4"/>
  <c r="AH15" i="4"/>
  <c r="AH16" i="4"/>
  <c r="AH24" i="4"/>
  <c r="AH20" i="4"/>
  <c r="AH56" i="4"/>
  <c r="AH74" i="4"/>
  <c r="AH80" i="9"/>
  <c r="AG103" i="9"/>
  <c r="AH80" i="13"/>
  <c r="AG103" i="13"/>
  <c r="AC126" i="13"/>
  <c r="AC58" i="13" s="1"/>
  <c r="AC59" i="13" s="1"/>
  <c r="AF126" i="13"/>
  <c r="AF58" i="13" s="1"/>
  <c r="AF59" i="13" s="1"/>
  <c r="AB126" i="13"/>
  <c r="AB58" i="13" s="1"/>
  <c r="AB59" i="13" s="1"/>
  <c r="AB126" i="8"/>
  <c r="AB58" i="8" s="1"/>
  <c r="AB59" i="8" s="1"/>
  <c r="AG18" i="8"/>
  <c r="AG28" i="8"/>
  <c r="AB122" i="4"/>
  <c r="AB57" i="4" s="1"/>
  <c r="AB58" i="4" s="1"/>
  <c r="AD122" i="4"/>
  <c r="AD57" i="4" s="1"/>
  <c r="AD58" i="4" s="1"/>
  <c r="AD59" i="4" s="1"/>
  <c r="AD60" i="4" s="1"/>
  <c r="AH15" i="18"/>
  <c r="AH30" i="18"/>
  <c r="AH16" i="18"/>
  <c r="AI7" i="18"/>
  <c r="AH57" i="18"/>
  <c r="AH78" i="18"/>
  <c r="AH80" i="18"/>
  <c r="AG103" i="18"/>
  <c r="AG126" i="18" s="1"/>
  <c r="AG58" i="18" s="1"/>
  <c r="AG59" i="18" s="1"/>
  <c r="AH86" i="18"/>
  <c r="AG109" i="18"/>
  <c r="W142" i="10"/>
  <c r="W144" i="10" s="1"/>
  <c r="W149" i="10"/>
  <c r="W153" i="10"/>
  <c r="W151" i="10"/>
  <c r="X100" i="22"/>
  <c r="X91" i="22"/>
  <c r="AH84" i="8"/>
  <c r="AG107" i="8"/>
  <c r="AH87" i="9"/>
  <c r="AG110" i="9"/>
  <c r="AI7" i="9"/>
  <c r="AH78" i="9"/>
  <c r="AH15" i="9"/>
  <c r="AH30" i="9"/>
  <c r="AH57" i="9"/>
  <c r="AH16" i="9"/>
  <c r="AI42" i="8"/>
  <c r="AH46" i="8"/>
  <c r="AH120" i="10" s="1"/>
  <c r="AH56" i="22" s="1"/>
  <c r="AH70" i="22" s="1"/>
  <c r="AH77" i="22" s="1"/>
  <c r="AH171" i="10" s="1"/>
  <c r="AB60" i="18"/>
  <c r="G136" i="18"/>
  <c r="G137" i="18" s="1"/>
  <c r="AB64" i="18"/>
  <c r="AF126" i="18"/>
  <c r="AF58" i="18" s="1"/>
  <c r="AF59" i="18" s="1"/>
  <c r="AC126" i="18"/>
  <c r="AC58" i="18" s="1"/>
  <c r="AC59" i="18" s="1"/>
  <c r="Y137" i="10"/>
  <c r="Y86" i="22"/>
  <c r="Y128" i="10"/>
  <c r="Y146" i="10" s="1"/>
  <c r="AF18" i="8"/>
  <c r="AF28" i="8"/>
  <c r="AH80" i="8"/>
  <c r="AG103" i="8"/>
  <c r="AG126" i="8" s="1"/>
  <c r="AG58" i="8" s="1"/>
  <c r="AG59" i="8" s="1"/>
  <c r="AB9" i="15"/>
  <c r="AI43" i="22"/>
  <c r="AI161" i="10"/>
  <c r="AJ115" i="10"/>
  <c r="AI148" i="10"/>
  <c r="AI167" i="10" s="1"/>
  <c r="AH83" i="13"/>
  <c r="AG106" i="13"/>
  <c r="AH88" i="8"/>
  <c r="AG111" i="8"/>
  <c r="AH85" i="9"/>
  <c r="AG108" i="9"/>
  <c r="AH87" i="8"/>
  <c r="AG110" i="8"/>
  <c r="X152" i="10"/>
  <c r="G112" i="10" s="1"/>
  <c r="Z61" i="13"/>
  <c r="Z63" i="13"/>
  <c r="Z65" i="13" s="1"/>
  <c r="Z132" i="10"/>
  <c r="Z62" i="13"/>
  <c r="Z61" i="8"/>
  <c r="Z63" i="8"/>
  <c r="Z65" i="8" s="1"/>
  <c r="Z157" i="10" s="1"/>
  <c r="Z62" i="8"/>
  <c r="Z130" i="10"/>
  <c r="AH81" i="8"/>
  <c r="AG104" i="8"/>
  <c r="AH85" i="18"/>
  <c r="AG108" i="18"/>
  <c r="AH86" i="9"/>
  <c r="AG109" i="9"/>
  <c r="X151" i="10"/>
  <c r="G111" i="10" s="1"/>
  <c r="AH82" i="9"/>
  <c r="AG105" i="9"/>
  <c r="AH82" i="13"/>
  <c r="AG105" i="13"/>
  <c r="AG126" i="13" s="1"/>
  <c r="AG58" i="13" s="1"/>
  <c r="AG59" i="13" s="1"/>
  <c r="AH86" i="4"/>
  <c r="AG109" i="4"/>
  <c r="AH86" i="8"/>
  <c r="AG109" i="8"/>
  <c r="AH90" i="13"/>
  <c r="AG113" i="13"/>
  <c r="AH90" i="9"/>
  <c r="AG113" i="9"/>
  <c r="AH89" i="13"/>
  <c r="AG112" i="13"/>
  <c r="AH87" i="13"/>
  <c r="AG110" i="13"/>
  <c r="AH80" i="4"/>
  <c r="AG103" i="4"/>
  <c r="AH82" i="4"/>
  <c r="AG105" i="4"/>
  <c r="AH86" i="13"/>
  <c r="AG109" i="13"/>
  <c r="W100" i="22"/>
  <c r="W91" i="22"/>
  <c r="H96" i="13"/>
  <c r="H119" i="13"/>
  <c r="AE19" i="13"/>
  <c r="AE50" i="13" s="1"/>
  <c r="AE51" i="13" s="1"/>
  <c r="AE55" i="13"/>
  <c r="H105" i="10"/>
  <c r="F114" i="10"/>
  <c r="AA60" i="9"/>
  <c r="AA64" i="9"/>
  <c r="P13" i="15"/>
  <c r="Q13" i="15" s="1"/>
  <c r="P15" i="15"/>
  <c r="P41" i="15"/>
  <c r="AF19" i="4"/>
  <c r="AF126" i="10"/>
  <c r="AH76" i="4"/>
  <c r="AG99" i="4"/>
  <c r="AH78" i="4"/>
  <c r="AG101" i="4"/>
  <c r="AH87" i="18"/>
  <c r="AG110" i="18"/>
  <c r="AF18" i="13"/>
  <c r="AF28" i="13"/>
  <c r="AI7" i="13"/>
  <c r="AH16" i="13"/>
  <c r="AH57" i="13"/>
  <c r="AH78" i="13"/>
  <c r="AH15" i="13"/>
  <c r="AH17" i="13" s="1"/>
  <c r="AH30" i="13"/>
  <c r="AH88" i="9"/>
  <c r="AG111" i="9"/>
  <c r="AH88" i="18"/>
  <c r="AG111" i="18"/>
  <c r="I96" i="8"/>
  <c r="I119" i="8"/>
  <c r="AH90" i="18"/>
  <c r="AG113" i="18"/>
  <c r="AH79" i="4"/>
  <c r="AG102" i="4"/>
  <c r="AG42" i="13"/>
  <c r="AF46" i="13"/>
  <c r="AF122" i="10" s="1"/>
  <c r="AF58" i="22" s="1"/>
  <c r="AF72" i="22" s="1"/>
  <c r="AF79" i="22" s="1"/>
  <c r="AF173" i="10" s="1"/>
  <c r="AH83" i="9"/>
  <c r="AG106" i="9"/>
  <c r="AH81" i="4"/>
  <c r="AG104" i="4"/>
  <c r="AH84" i="9"/>
  <c r="AG107" i="9"/>
  <c r="AH75" i="4"/>
  <c r="AG98" i="4"/>
  <c r="AG122" i="4" s="1"/>
  <c r="AG57" i="4" s="1"/>
  <c r="AG58" i="4" s="1"/>
  <c r="AG59" i="4" s="1"/>
  <c r="AG17" i="4"/>
  <c r="AG18" i="4" s="1"/>
  <c r="AF126" i="9"/>
  <c r="AE60" i="13"/>
  <c r="AE64" i="13"/>
  <c r="AD126" i="13"/>
  <c r="AD58" i="13" s="1"/>
  <c r="AD59" i="13" s="1"/>
  <c r="G151" i="9"/>
  <c r="G153" i="9" s="1"/>
  <c r="G154" i="9" s="1"/>
  <c r="G148" i="9"/>
  <c r="Z103" i="22"/>
  <c r="AB89" i="22"/>
  <c r="AB140" i="10"/>
  <c r="AB73" i="22"/>
  <c r="AB80" i="22" s="1"/>
  <c r="AB54" i="22"/>
  <c r="AD60" i="9"/>
  <c r="AD64" i="9"/>
  <c r="AD158" i="9"/>
  <c r="AD123" i="10"/>
  <c r="AF42" i="9"/>
  <c r="AE46" i="9"/>
  <c r="AE58" i="9"/>
  <c r="AE59" i="9" s="1"/>
  <c r="AC59" i="22"/>
  <c r="AC118" i="10"/>
  <c r="AC61" i="9"/>
  <c r="AC62" i="9"/>
  <c r="AC63" i="9"/>
  <c r="AC65" i="9" s="1"/>
  <c r="AC133" i="10"/>
  <c r="AA174" i="10"/>
  <c r="AA169" i="10" s="1"/>
  <c r="AA75" i="22"/>
  <c r="AA45" i="22" s="1"/>
  <c r="Y183" i="10"/>
  <c r="Q25" i="15"/>
  <c r="AE67" i="13" l="1"/>
  <c r="Z163" i="10"/>
  <c r="S10" i="15"/>
  <c r="AG64" i="8"/>
  <c r="AG64" i="18"/>
  <c r="AG64" i="13"/>
  <c r="AE67" i="8"/>
  <c r="AD64" i="13"/>
  <c r="AD60" i="13"/>
  <c r="AG126" i="10"/>
  <c r="AG19" i="4"/>
  <c r="AI76" i="4"/>
  <c r="AH99" i="4"/>
  <c r="AI82" i="4"/>
  <c r="AH105" i="4"/>
  <c r="AH42" i="13"/>
  <c r="AG46" i="13"/>
  <c r="AG122" i="10" s="1"/>
  <c r="AG58" i="22" s="1"/>
  <c r="AG72" i="22" s="1"/>
  <c r="AG79" i="22" s="1"/>
  <c r="AG173" i="10" s="1"/>
  <c r="AI80" i="4"/>
  <c r="AH103" i="4"/>
  <c r="AI91" i="18"/>
  <c r="AH114" i="18"/>
  <c r="I97" i="8"/>
  <c r="I120" i="8"/>
  <c r="AI89" i="18"/>
  <c r="AH112" i="18"/>
  <c r="AI89" i="9"/>
  <c r="AH112" i="9"/>
  <c r="AH18" i="13"/>
  <c r="AH28" i="13"/>
  <c r="AJ7" i="13"/>
  <c r="AI15" i="13"/>
  <c r="AI16" i="13"/>
  <c r="AI30" i="13"/>
  <c r="AI78" i="13"/>
  <c r="AI57" i="13"/>
  <c r="AI88" i="18"/>
  <c r="AH111" i="18"/>
  <c r="AI79" i="4"/>
  <c r="AH102" i="4"/>
  <c r="AI77" i="4"/>
  <c r="AH100" i="4"/>
  <c r="P37" i="15"/>
  <c r="P17" i="15"/>
  <c r="AA62" i="9"/>
  <c r="AA61" i="9"/>
  <c r="AA63" i="9"/>
  <c r="AA65" i="9" s="1"/>
  <c r="AA133" i="10"/>
  <c r="H120" i="13"/>
  <c r="H97" i="13"/>
  <c r="W180" i="10"/>
  <c r="W178" i="10" s="1"/>
  <c r="W98" i="22"/>
  <c r="W48" i="22" s="1"/>
  <c r="AI87" i="13"/>
  <c r="AH110" i="13"/>
  <c r="AI83" i="4"/>
  <c r="AH106" i="4"/>
  <c r="AI81" i="4"/>
  <c r="AH104" i="4"/>
  <c r="AI88" i="13"/>
  <c r="AH111" i="13"/>
  <c r="AI90" i="13"/>
  <c r="AH113" i="13"/>
  <c r="AI91" i="9"/>
  <c r="AH114" i="9"/>
  <c r="AI91" i="13"/>
  <c r="AH114" i="13"/>
  <c r="AI87" i="8"/>
  <c r="AH110" i="8"/>
  <c r="AI87" i="4"/>
  <c r="AH110" i="4"/>
  <c r="AI83" i="13"/>
  <c r="AH106" i="13"/>
  <c r="AI83" i="9"/>
  <c r="AH106" i="9"/>
  <c r="Z137" i="10"/>
  <c r="Z86" i="22"/>
  <c r="Z128" i="10"/>
  <c r="Z146" i="10" s="1"/>
  <c r="AI86" i="9"/>
  <c r="AH109" i="9"/>
  <c r="AF19" i="8"/>
  <c r="AF55" i="8"/>
  <c r="AC60" i="18"/>
  <c r="AC64" i="18"/>
  <c r="G151" i="18"/>
  <c r="G153" i="18" s="1"/>
  <c r="G154" i="18" s="1"/>
  <c r="G148" i="18"/>
  <c r="AI79" i="9"/>
  <c r="AH102" i="9"/>
  <c r="AD129" i="10"/>
  <c r="AD62" i="4"/>
  <c r="AD61" i="4"/>
  <c r="AD63" i="4"/>
  <c r="P42" i="15"/>
  <c r="AI79" i="13"/>
  <c r="AH102" i="13"/>
  <c r="P27" i="15"/>
  <c r="AI87" i="9"/>
  <c r="AH110" i="9"/>
  <c r="AI86" i="18"/>
  <c r="AH109" i="18"/>
  <c r="AI82" i="8"/>
  <c r="AH105" i="8"/>
  <c r="Z139" i="10"/>
  <c r="Z88" i="22"/>
  <c r="Z95" i="22" s="1"/>
  <c r="Z102" i="22" s="1"/>
  <c r="Z182" i="10" s="1"/>
  <c r="AI84" i="13"/>
  <c r="AH107" i="13"/>
  <c r="AC9" i="15"/>
  <c r="AJ43" i="22"/>
  <c r="AK115" i="10"/>
  <c r="AJ148" i="10"/>
  <c r="AJ167" i="10" s="1"/>
  <c r="AJ161" i="10"/>
  <c r="AI68" i="22"/>
  <c r="AI82" i="22"/>
  <c r="AF50" i="8"/>
  <c r="AF51" i="8" s="1"/>
  <c r="Y135" i="10"/>
  <c r="Y150" i="10"/>
  <c r="AF60" i="18"/>
  <c r="AF64" i="18"/>
  <c r="AB62" i="18"/>
  <c r="G145" i="18"/>
  <c r="G146" i="18" s="1"/>
  <c r="AB61" i="18"/>
  <c r="AB63" i="18"/>
  <c r="AB65" i="18" s="1"/>
  <c r="AB131" i="10"/>
  <c r="AI46" i="8"/>
  <c r="AI120" i="10" s="1"/>
  <c r="AI56" i="22" s="1"/>
  <c r="AI70" i="22" s="1"/>
  <c r="AI77" i="22" s="1"/>
  <c r="AI171" i="10" s="1"/>
  <c r="AJ42" i="8"/>
  <c r="AH17" i="9"/>
  <c r="AJ7" i="9"/>
  <c r="AI15" i="9"/>
  <c r="AI17" i="9" s="1"/>
  <c r="AI16" i="9"/>
  <c r="AI30" i="9"/>
  <c r="AI57" i="9"/>
  <c r="AI78" i="9"/>
  <c r="AI88" i="9"/>
  <c r="AH111" i="9"/>
  <c r="AI85" i="8"/>
  <c r="AH108" i="8"/>
  <c r="X180" i="10"/>
  <c r="X178" i="10" s="1"/>
  <c r="X98" i="22"/>
  <c r="X48" i="22" s="1"/>
  <c r="AI87" i="18"/>
  <c r="AH110" i="18"/>
  <c r="AI81" i="18"/>
  <c r="AH104" i="18"/>
  <c r="AH17" i="18"/>
  <c r="AB59" i="4"/>
  <c r="AB60" i="4" s="1"/>
  <c r="G133" i="4"/>
  <c r="G134" i="4" s="1"/>
  <c r="AG19" i="8"/>
  <c r="AG55" i="8"/>
  <c r="AG60" i="8" s="1"/>
  <c r="AF64" i="13"/>
  <c r="AI75" i="4"/>
  <c r="AH98" i="4"/>
  <c r="AJ7" i="4"/>
  <c r="AI15" i="4"/>
  <c r="AI16" i="4"/>
  <c r="AI20" i="4"/>
  <c r="AI56" i="4"/>
  <c r="AI74" i="4"/>
  <c r="AI24" i="4"/>
  <c r="AI83" i="8"/>
  <c r="AH106" i="8"/>
  <c r="AI86" i="8"/>
  <c r="AH109" i="8"/>
  <c r="AI42" i="18"/>
  <c r="AH46" i="18"/>
  <c r="AH121" i="10" s="1"/>
  <c r="AH57" i="22" s="1"/>
  <c r="AH71" i="22" s="1"/>
  <c r="AH78" i="22" s="1"/>
  <c r="AH172" i="10" s="1"/>
  <c r="AG38" i="4"/>
  <c r="AF49" i="4"/>
  <c r="AF52" i="4" s="1"/>
  <c r="AF54" i="4" s="1"/>
  <c r="AF21" i="4" s="1"/>
  <c r="AF66" i="4" s="1"/>
  <c r="AF43" i="4"/>
  <c r="AF119" i="10" s="1"/>
  <c r="AF55" i="22" s="1"/>
  <c r="AF69" i="22" s="1"/>
  <c r="AF76" i="22" s="1"/>
  <c r="AF170" i="10" s="1"/>
  <c r="AI83" i="18"/>
  <c r="AH106" i="18"/>
  <c r="R13" i="15"/>
  <c r="R15" i="15"/>
  <c r="R37" i="15" s="1"/>
  <c r="R41" i="15"/>
  <c r="R27" i="15"/>
  <c r="R33" i="15" s="1"/>
  <c r="R44" i="15" s="1"/>
  <c r="AG18" i="9"/>
  <c r="AG28" i="9"/>
  <c r="AI80" i="9"/>
  <c r="AH103" i="9"/>
  <c r="H93" i="4"/>
  <c r="H116" i="4"/>
  <c r="AA137" i="10"/>
  <c r="AA86" i="22"/>
  <c r="Z87" i="22"/>
  <c r="Z94" i="22" s="1"/>
  <c r="Z101" i="22" s="1"/>
  <c r="Z181" i="10" s="1"/>
  <c r="Z138" i="10"/>
  <c r="AI79" i="8"/>
  <c r="AH102" i="8"/>
  <c r="AH17" i="8"/>
  <c r="AD64" i="8"/>
  <c r="AD60" i="8"/>
  <c r="AE50" i="9"/>
  <c r="AE51" i="9" s="1"/>
  <c r="AE67" i="9" s="1"/>
  <c r="Z135" i="10"/>
  <c r="Q27" i="15"/>
  <c r="AC129" i="10"/>
  <c r="AC62" i="4"/>
  <c r="AC61" i="4"/>
  <c r="AC63" i="4"/>
  <c r="AI84" i="8"/>
  <c r="AH107" i="8"/>
  <c r="AI82" i="18"/>
  <c r="AH105" i="18"/>
  <c r="AI86" i="13"/>
  <c r="AH109" i="13"/>
  <c r="AI84" i="4"/>
  <c r="AH107" i="4"/>
  <c r="AC62" i="8"/>
  <c r="AC130" i="10"/>
  <c r="AC61" i="8"/>
  <c r="AC63" i="8"/>
  <c r="AC65" i="8" s="1"/>
  <c r="G114" i="10"/>
  <c r="H108" i="10"/>
  <c r="AF51" i="18"/>
  <c r="AE67" i="18"/>
  <c r="AE62" i="13"/>
  <c r="AE132" i="10"/>
  <c r="AE61" i="13"/>
  <c r="AE63" i="13"/>
  <c r="AE65" i="13" s="1"/>
  <c r="AI85" i="9"/>
  <c r="AH108" i="9"/>
  <c r="AI84" i="9"/>
  <c r="AH107" i="9"/>
  <c r="AF19" i="13"/>
  <c r="AF50" i="13" s="1"/>
  <c r="AF51" i="13" s="1"/>
  <c r="AF55" i="13"/>
  <c r="AF60" i="13" s="1"/>
  <c r="AI88" i="8"/>
  <c r="AH111" i="8"/>
  <c r="AI89" i="8"/>
  <c r="AH112" i="8"/>
  <c r="AI81" i="8"/>
  <c r="AH104" i="8"/>
  <c r="Y93" i="22"/>
  <c r="Y84" i="22"/>
  <c r="AI79" i="18"/>
  <c r="AH102" i="18"/>
  <c r="AJ7" i="18"/>
  <c r="AI15" i="18"/>
  <c r="AI16" i="18"/>
  <c r="AI30" i="18"/>
  <c r="AI57" i="18"/>
  <c r="AI78" i="18"/>
  <c r="AG50" i="8"/>
  <c r="AB64" i="8"/>
  <c r="AB60" i="8"/>
  <c r="G136" i="8"/>
  <c r="G137" i="8" s="1"/>
  <c r="AB60" i="13"/>
  <c r="AB64" i="13"/>
  <c r="G136" i="13"/>
  <c r="G137" i="13" s="1"/>
  <c r="AC64" i="13"/>
  <c r="AC60" i="13"/>
  <c r="AI81" i="13"/>
  <c r="AH104" i="13"/>
  <c r="AI81" i="9"/>
  <c r="AH104" i="9"/>
  <c r="AH17" i="4"/>
  <c r="AH18" i="4" s="1"/>
  <c r="AA62" i="13"/>
  <c r="AA132" i="10"/>
  <c r="AA61" i="13"/>
  <c r="AA63" i="13"/>
  <c r="AA65" i="13" s="1"/>
  <c r="AG18" i="13"/>
  <c r="AG28" i="13"/>
  <c r="AI80" i="13"/>
  <c r="AH103" i="13"/>
  <c r="AI82" i="13"/>
  <c r="AH105" i="13"/>
  <c r="AF19" i="9"/>
  <c r="AF55" i="9"/>
  <c r="I97" i="18"/>
  <c r="I120" i="18"/>
  <c r="Y151" i="10"/>
  <c r="AI84" i="18"/>
  <c r="AH107" i="18"/>
  <c r="H97" i="9"/>
  <c r="H120" i="9"/>
  <c r="AI85" i="4"/>
  <c r="AH108" i="4"/>
  <c r="AI90" i="8"/>
  <c r="AH113" i="8"/>
  <c r="AI91" i="8"/>
  <c r="AH114" i="8"/>
  <c r="AI86" i="4"/>
  <c r="AH109" i="4"/>
  <c r="AI90" i="9"/>
  <c r="AH113" i="9"/>
  <c r="AI89" i="13"/>
  <c r="AH112" i="13"/>
  <c r="AI90" i="18"/>
  <c r="AH113" i="18"/>
  <c r="AE60" i="18"/>
  <c r="AE64" i="18"/>
  <c r="AD64" i="18"/>
  <c r="AD60" i="18"/>
  <c r="AG126" i="9"/>
  <c r="AG18" i="18"/>
  <c r="AG28" i="18"/>
  <c r="AI80" i="18"/>
  <c r="AH103" i="18"/>
  <c r="AI80" i="8"/>
  <c r="AH103" i="8"/>
  <c r="AI57" i="8"/>
  <c r="AI78" i="8"/>
  <c r="AJ7" i="8"/>
  <c r="AI15" i="8"/>
  <c r="AI30" i="8"/>
  <c r="AI16" i="8"/>
  <c r="AE64" i="8"/>
  <c r="AE60" i="8"/>
  <c r="AI82" i="9"/>
  <c r="AH105" i="9"/>
  <c r="AI78" i="4"/>
  <c r="AH101" i="4"/>
  <c r="AI85" i="13"/>
  <c r="AH108" i="13"/>
  <c r="AI85" i="18"/>
  <c r="AH108" i="18"/>
  <c r="AA131" i="10"/>
  <c r="AA61" i="18"/>
  <c r="AA63" i="18"/>
  <c r="AA65" i="18" s="1"/>
  <c r="AA62" i="18"/>
  <c r="AF64" i="8"/>
  <c r="AF60" i="8"/>
  <c r="X144" i="10"/>
  <c r="H106" i="10"/>
  <c r="AE60" i="4"/>
  <c r="Q42" i="15"/>
  <c r="R25" i="15"/>
  <c r="AC89" i="22"/>
  <c r="AC140" i="10"/>
  <c r="AC73" i="22"/>
  <c r="AC80" i="22" s="1"/>
  <c r="AC54" i="22"/>
  <c r="AE60" i="9"/>
  <c r="AE64" i="9"/>
  <c r="AE158" i="9"/>
  <c r="AE123" i="10"/>
  <c r="AG42" i="9"/>
  <c r="AF46" i="9"/>
  <c r="AF58" i="9"/>
  <c r="AF59" i="9" s="1"/>
  <c r="AD59" i="22"/>
  <c r="AD118" i="10"/>
  <c r="AD61" i="9"/>
  <c r="AD62" i="9"/>
  <c r="AD63" i="9"/>
  <c r="AD65" i="9" s="1"/>
  <c r="AD133" i="10"/>
  <c r="AB174" i="10"/>
  <c r="AB169" i="10" s="1"/>
  <c r="AB75" i="22"/>
  <c r="AB45" i="22" s="1"/>
  <c r="AB96" i="22"/>
  <c r="Z183" i="10"/>
  <c r="AF67" i="13" l="1"/>
  <c r="AF62" i="13"/>
  <c r="AF132" i="10"/>
  <c r="AF61" i="13"/>
  <c r="AF63" i="13"/>
  <c r="AF65" i="13" s="1"/>
  <c r="AG51" i="8"/>
  <c r="AF67" i="8"/>
  <c r="AG62" i="8"/>
  <c r="AG130" i="10"/>
  <c r="AG61" i="8"/>
  <c r="AG63" i="8"/>
  <c r="AG65" i="8" s="1"/>
  <c r="AA87" i="22"/>
  <c r="AA94" i="22" s="1"/>
  <c r="AA101" i="22" s="1"/>
  <c r="AA181" i="10" s="1"/>
  <c r="AA138" i="10"/>
  <c r="AJ86" i="13"/>
  <c r="AI109" i="13"/>
  <c r="AG19" i="18"/>
  <c r="AG50" i="18" s="1"/>
  <c r="AG51" i="18" s="1"/>
  <c r="AG55" i="18"/>
  <c r="AG60" i="18" s="1"/>
  <c r="I98" i="18"/>
  <c r="I121" i="18"/>
  <c r="AG19" i="13"/>
  <c r="AG50" i="13" s="1"/>
  <c r="AG51" i="13" s="1"/>
  <c r="AG55" i="13"/>
  <c r="AG60" i="13" s="1"/>
  <c r="AC62" i="13"/>
  <c r="AC132" i="10"/>
  <c r="AC61" i="13"/>
  <c r="AC63" i="13"/>
  <c r="AC65" i="13" s="1"/>
  <c r="AB61" i="13"/>
  <c r="AB63" i="13"/>
  <c r="AB65" i="13" s="1"/>
  <c r="AB132" i="10"/>
  <c r="AB62" i="13"/>
  <c r="G145" i="13"/>
  <c r="G146" i="13" s="1"/>
  <c r="AB61" i="8"/>
  <c r="AB63" i="8"/>
  <c r="AB65" i="8" s="1"/>
  <c r="AB130" i="10"/>
  <c r="AB62" i="8"/>
  <c r="G145" i="8"/>
  <c r="G146" i="8" s="1"/>
  <c r="AJ80" i="18"/>
  <c r="AI103" i="18"/>
  <c r="AC86" i="22"/>
  <c r="AC93" i="22" s="1"/>
  <c r="AC100" i="22" s="1"/>
  <c r="AC180" i="10" s="1"/>
  <c r="AC137" i="10"/>
  <c r="Q33" i="15"/>
  <c r="Q44" i="15" s="1"/>
  <c r="Z142" i="10"/>
  <c r="Z144" i="10" s="1"/>
  <c r="Z149" i="10"/>
  <c r="AD62" i="8"/>
  <c r="AD130" i="10"/>
  <c r="AD61" i="8"/>
  <c r="AD63" i="8"/>
  <c r="AD65" i="8" s="1"/>
  <c r="AH18" i="8"/>
  <c r="AH28" i="8"/>
  <c r="AJ80" i="8"/>
  <c r="AI103" i="8"/>
  <c r="AA93" i="22"/>
  <c r="AH38" i="4"/>
  <c r="AG49" i="4"/>
  <c r="AG43" i="4"/>
  <c r="AG119" i="10" s="1"/>
  <c r="AG55" i="22" s="1"/>
  <c r="AG69" i="22" s="1"/>
  <c r="AG76" i="22" s="1"/>
  <c r="AG170" i="10" s="1"/>
  <c r="AJ42" i="18"/>
  <c r="AI46" i="18"/>
  <c r="AI121" i="10" s="1"/>
  <c r="AI57" i="22" s="1"/>
  <c r="AI71" i="22" s="1"/>
  <c r="AI78" i="22" s="1"/>
  <c r="AI172" i="10" s="1"/>
  <c r="AJ87" i="8"/>
  <c r="AI110" i="8"/>
  <c r="AK7" i="4"/>
  <c r="AJ15" i="4"/>
  <c r="AJ16" i="4"/>
  <c r="AJ24" i="4"/>
  <c r="AJ56" i="4"/>
  <c r="AJ74" i="4"/>
  <c r="AJ20" i="4"/>
  <c r="AJ76" i="4"/>
  <c r="AI99" i="4"/>
  <c r="AF62" i="8"/>
  <c r="AF130" i="10"/>
  <c r="AF61" i="8"/>
  <c r="AF63" i="8"/>
  <c r="AF65" i="8" s="1"/>
  <c r="AE62" i="8"/>
  <c r="AE130" i="10"/>
  <c r="AE61" i="8"/>
  <c r="AE63" i="8"/>
  <c r="AE65" i="8" s="1"/>
  <c r="AI17" i="8"/>
  <c r="AJ79" i="8"/>
  <c r="AI102" i="8"/>
  <c r="AE61" i="18"/>
  <c r="AE63" i="18"/>
  <c r="AE65" i="18" s="1"/>
  <c r="AE62" i="18"/>
  <c r="AE131" i="10"/>
  <c r="AJ91" i="18"/>
  <c r="AI114" i="18"/>
  <c r="AJ90" i="13"/>
  <c r="AI113" i="13"/>
  <c r="AJ91" i="9"/>
  <c r="AI114" i="9"/>
  <c r="AJ87" i="4"/>
  <c r="AI110" i="4"/>
  <c r="AJ92" i="8"/>
  <c r="AI115" i="8"/>
  <c r="AJ91" i="8"/>
  <c r="AI114" i="8"/>
  <c r="AJ86" i="4"/>
  <c r="AI109" i="4"/>
  <c r="H98" i="9"/>
  <c r="H121" i="9"/>
  <c r="AJ85" i="18"/>
  <c r="AI108" i="18"/>
  <c r="AF50" i="9"/>
  <c r="AF51" i="9" s="1"/>
  <c r="AF67" i="9" s="1"/>
  <c r="AA139" i="10"/>
  <c r="AA88" i="22"/>
  <c r="AA95" i="22" s="1"/>
  <c r="AA102" i="22" s="1"/>
  <c r="AA182" i="10" s="1"/>
  <c r="AH19" i="4"/>
  <c r="AH126" i="10"/>
  <c r="AJ82" i="9"/>
  <c r="AI105" i="9"/>
  <c r="AJ82" i="13"/>
  <c r="AI105" i="13"/>
  <c r="G148" i="8"/>
  <c r="G151" i="8"/>
  <c r="G153" i="8" s="1"/>
  <c r="G154" i="8" s="1"/>
  <c r="AJ79" i="18"/>
  <c r="AI102" i="18"/>
  <c r="AI17" i="18"/>
  <c r="AH126" i="18"/>
  <c r="AH58" i="18" s="1"/>
  <c r="AH59" i="18" s="1"/>
  <c r="AE139" i="10"/>
  <c r="AE88" i="22"/>
  <c r="AE95" i="22" s="1"/>
  <c r="AE102" i="22" s="1"/>
  <c r="AE182" i="10" s="1"/>
  <c r="AF67" i="18"/>
  <c r="AJ85" i="4"/>
  <c r="AI108" i="4"/>
  <c r="AJ87" i="13"/>
  <c r="AI110" i="13"/>
  <c r="AJ83" i="18"/>
  <c r="AI106" i="18"/>
  <c r="AJ85" i="8"/>
  <c r="AI108" i="8"/>
  <c r="AC85" i="22"/>
  <c r="AC92" i="22" s="1"/>
  <c r="AC99" i="22" s="1"/>
  <c r="AC179" i="10" s="1"/>
  <c r="AC136" i="10"/>
  <c r="Z153" i="10"/>
  <c r="AH126" i="8"/>
  <c r="AH58" i="8" s="1"/>
  <c r="AH59" i="8" s="1"/>
  <c r="Z151" i="10"/>
  <c r="AA128" i="10"/>
  <c r="AA146" i="10" s="1"/>
  <c r="H94" i="4"/>
  <c r="H117" i="4"/>
  <c r="AJ81" i="9"/>
  <c r="AI104" i="9"/>
  <c r="AG19" i="9"/>
  <c r="AG55" i="9"/>
  <c r="AG50" i="9" s="1"/>
  <c r="AG51" i="9" s="1"/>
  <c r="AJ84" i="18"/>
  <c r="AI107" i="18"/>
  <c r="AF60" i="4"/>
  <c r="AJ84" i="8"/>
  <c r="AI107" i="8"/>
  <c r="AJ75" i="4"/>
  <c r="AI98" i="4"/>
  <c r="AI17" i="4"/>
  <c r="AI18" i="4" s="1"/>
  <c r="AH122" i="4"/>
  <c r="AH57" i="4" s="1"/>
  <c r="AH58" i="4" s="1"/>
  <c r="AH59" i="4" s="1"/>
  <c r="G148" i="4"/>
  <c r="G150" i="4" s="1"/>
  <c r="G151" i="4" s="1"/>
  <c r="G145" i="4"/>
  <c r="AH18" i="18"/>
  <c r="AH28" i="18"/>
  <c r="AJ82" i="18"/>
  <c r="AI105" i="18"/>
  <c r="AJ88" i="18"/>
  <c r="AI111" i="18"/>
  <c r="P105" i="10"/>
  <c r="P106" i="10"/>
  <c r="AJ86" i="8"/>
  <c r="AI109" i="8"/>
  <c r="AJ89" i="9"/>
  <c r="AI112" i="9"/>
  <c r="AJ15" i="9"/>
  <c r="AJ17" i="9" s="1"/>
  <c r="AJ78" i="9"/>
  <c r="AK7" i="9"/>
  <c r="AJ16" i="9"/>
  <c r="AJ30" i="9"/>
  <c r="AJ57" i="9"/>
  <c r="AK42" i="8"/>
  <c r="AJ46" i="8"/>
  <c r="AJ120" i="10" s="1"/>
  <c r="AJ56" i="22" s="1"/>
  <c r="AJ70" i="22" s="1"/>
  <c r="AJ77" i="22" s="1"/>
  <c r="AJ171" i="10" s="1"/>
  <c r="AB138" i="10"/>
  <c r="AB87" i="22"/>
  <c r="AB94" i="22" s="1"/>
  <c r="AB101" i="22" s="1"/>
  <c r="AB181" i="10" s="1"/>
  <c r="AF61" i="18"/>
  <c r="AF63" i="18"/>
  <c r="AF65" i="18" s="1"/>
  <c r="AF62" i="18"/>
  <c r="AF131" i="10"/>
  <c r="Y142" i="10"/>
  <c r="Y144" i="10" s="1"/>
  <c r="Y153" i="10"/>
  <c r="Y149" i="10"/>
  <c r="Y152" i="10"/>
  <c r="AD9" i="15"/>
  <c r="AK43" i="22"/>
  <c r="AL115" i="10"/>
  <c r="AK161" i="10"/>
  <c r="AK148" i="10"/>
  <c r="AK167" i="10" s="1"/>
  <c r="AJ85" i="13"/>
  <c r="AI108" i="13"/>
  <c r="Z152" i="10"/>
  <c r="AJ83" i="8"/>
  <c r="AI106" i="8"/>
  <c r="AJ87" i="18"/>
  <c r="AI110" i="18"/>
  <c r="AJ88" i="9"/>
  <c r="AI111" i="9"/>
  <c r="AJ80" i="13"/>
  <c r="AI103" i="13"/>
  <c r="AD85" i="22"/>
  <c r="AD92" i="22" s="1"/>
  <c r="AD99" i="22" s="1"/>
  <c r="AD179" i="10" s="1"/>
  <c r="AD136" i="10"/>
  <c r="AJ80" i="9"/>
  <c r="AI103" i="9"/>
  <c r="AC61" i="18"/>
  <c r="AC63" i="18"/>
  <c r="AC65" i="18" s="1"/>
  <c r="AC157" i="10" s="1"/>
  <c r="AC62" i="18"/>
  <c r="AC131" i="10"/>
  <c r="AJ87" i="9"/>
  <c r="AI110" i="9"/>
  <c r="Z93" i="22"/>
  <c r="Z84" i="22"/>
  <c r="H121" i="13"/>
  <c r="H98" i="13"/>
  <c r="AA140" i="10"/>
  <c r="AA89" i="22"/>
  <c r="AA96" i="22" s="1"/>
  <c r="AA103" i="22" s="1"/>
  <c r="Q17" i="15"/>
  <c r="Q38" i="15" s="1"/>
  <c r="P38" i="15"/>
  <c r="AI17" i="13"/>
  <c r="AD62" i="13"/>
  <c r="AD132" i="10"/>
  <c r="AD61" i="13"/>
  <c r="AD63" i="13"/>
  <c r="AD65" i="13" s="1"/>
  <c r="S13" i="15"/>
  <c r="S15" i="15"/>
  <c r="S37" i="15" s="1"/>
  <c r="S41" i="15"/>
  <c r="AE129" i="10"/>
  <c r="AE62" i="4"/>
  <c r="AE61" i="4"/>
  <c r="AE63" i="4"/>
  <c r="AJ86" i="18"/>
  <c r="AI109" i="18"/>
  <c r="AJ79" i="4"/>
  <c r="AI102" i="4"/>
  <c r="AJ83" i="9"/>
  <c r="AI106" i="9"/>
  <c r="AK7" i="8"/>
  <c r="AJ15" i="8"/>
  <c r="AJ17" i="8" s="1"/>
  <c r="AJ16" i="8"/>
  <c r="AJ30" i="8"/>
  <c r="AJ57" i="8"/>
  <c r="AJ78" i="8"/>
  <c r="AJ81" i="8"/>
  <c r="AI104" i="8"/>
  <c r="AJ81" i="18"/>
  <c r="AI104" i="18"/>
  <c r="AD61" i="18"/>
  <c r="AD63" i="18"/>
  <c r="AD65" i="18" s="1"/>
  <c r="AD157" i="10" s="1"/>
  <c r="AD62" i="18"/>
  <c r="AD131" i="10"/>
  <c r="AJ83" i="13"/>
  <c r="AI106" i="13"/>
  <c r="AJ81" i="13"/>
  <c r="AI104" i="13"/>
  <c r="G148" i="13"/>
  <c r="G151" i="13"/>
  <c r="G153" i="13" s="1"/>
  <c r="G154" i="13" s="1"/>
  <c r="AK7" i="18"/>
  <c r="AJ16" i="18"/>
  <c r="AJ57" i="18"/>
  <c r="AJ78" i="18"/>
  <c r="AJ15" i="18"/>
  <c r="Y100" i="22"/>
  <c r="Y91" i="22"/>
  <c r="AJ82" i="8"/>
  <c r="AI105" i="8"/>
  <c r="AJ90" i="8"/>
  <c r="AI113" i="8"/>
  <c r="AJ89" i="8"/>
  <c r="AI112" i="8"/>
  <c r="AJ85" i="9"/>
  <c r="AI108" i="9"/>
  <c r="AJ86" i="9"/>
  <c r="AI109" i="9"/>
  <c r="AB129" i="10"/>
  <c r="AB62" i="4"/>
  <c r="G142" i="4"/>
  <c r="G143" i="4" s="1"/>
  <c r="AB61" i="4"/>
  <c r="AB63" i="4"/>
  <c r="AB157" i="10" s="1"/>
  <c r="X51" i="22"/>
  <c r="X50" i="22"/>
  <c r="AJ79" i="9"/>
  <c r="AI102" i="9"/>
  <c r="AI18" i="9"/>
  <c r="AI28" i="9"/>
  <c r="AH18" i="9"/>
  <c r="AH28" i="9"/>
  <c r="AJ68" i="22"/>
  <c r="AJ82" i="22"/>
  <c r="P33" i="15"/>
  <c r="P44" i="15" s="1"/>
  <c r="P30" i="15"/>
  <c r="P34" i="15" s="1"/>
  <c r="P45" i="15" s="1"/>
  <c r="AH126" i="13"/>
  <c r="AH58" i="13" s="1"/>
  <c r="AH59" i="13" s="1"/>
  <c r="AH126" i="9"/>
  <c r="Z150" i="10"/>
  <c r="AJ84" i="9"/>
  <c r="AI107" i="9"/>
  <c r="AJ84" i="13"/>
  <c r="AI107" i="13"/>
  <c r="AJ88" i="4"/>
  <c r="AI111" i="4"/>
  <c r="AJ88" i="8"/>
  <c r="AI111" i="8"/>
  <c r="AJ92" i="13"/>
  <c r="AI115" i="13"/>
  <c r="AJ92" i="9"/>
  <c r="AI115" i="9"/>
  <c r="AJ91" i="13"/>
  <c r="AI114" i="13"/>
  <c r="AJ89" i="13"/>
  <c r="AI112" i="13"/>
  <c r="AJ82" i="4"/>
  <c r="AI105" i="4"/>
  <c r="AJ84" i="4"/>
  <c r="AI107" i="4"/>
  <c r="AJ88" i="13"/>
  <c r="AI111" i="13"/>
  <c r="AA157" i="10"/>
  <c r="AJ78" i="4"/>
  <c r="AI101" i="4"/>
  <c r="AJ80" i="4"/>
  <c r="AI103" i="4"/>
  <c r="AJ89" i="18"/>
  <c r="AI112" i="18"/>
  <c r="AJ79" i="13"/>
  <c r="AI102" i="13"/>
  <c r="AI126" i="13" s="1"/>
  <c r="AI58" i="13" s="1"/>
  <c r="AI59" i="13" s="1"/>
  <c r="AJ15" i="13"/>
  <c r="AJ30" i="13"/>
  <c r="AJ57" i="13"/>
  <c r="AJ78" i="13"/>
  <c r="AK7" i="13"/>
  <c r="AJ16" i="13"/>
  <c r="AH19" i="13"/>
  <c r="AH55" i="13"/>
  <c r="AH50" i="13" s="1"/>
  <c r="AJ90" i="9"/>
  <c r="AI113" i="9"/>
  <c r="AJ90" i="18"/>
  <c r="AI113" i="18"/>
  <c r="I98" i="8"/>
  <c r="I121" i="8"/>
  <c r="AJ92" i="18"/>
  <c r="AI115" i="18"/>
  <c r="AJ81" i="4"/>
  <c r="AI104" i="4"/>
  <c r="AI42" i="13"/>
  <c r="AH46" i="13"/>
  <c r="AH122" i="10" s="1"/>
  <c r="AH58" i="22" s="1"/>
  <c r="AH72" i="22" s="1"/>
  <c r="AH79" i="22" s="1"/>
  <c r="AH173" i="10" s="1"/>
  <c r="AJ83" i="4"/>
  <c r="AI106" i="4"/>
  <c r="AJ77" i="4"/>
  <c r="AI100" i="4"/>
  <c r="AB103" i="22"/>
  <c r="AD89" i="22"/>
  <c r="AD140" i="10"/>
  <c r="AD73" i="22"/>
  <c r="AD80" i="22" s="1"/>
  <c r="AD54" i="22"/>
  <c r="AF60" i="9"/>
  <c r="AF64" i="9"/>
  <c r="AF158" i="9"/>
  <c r="AF123" i="10"/>
  <c r="AH42" i="9"/>
  <c r="AG46" i="9"/>
  <c r="AG58" i="9"/>
  <c r="AG59" i="9" s="1"/>
  <c r="AE59" i="22"/>
  <c r="AE118" i="10"/>
  <c r="AE61" i="9"/>
  <c r="AE62" i="9"/>
  <c r="AE63" i="9"/>
  <c r="AE65" i="9" s="1"/>
  <c r="AE133" i="10"/>
  <c r="AC174" i="10"/>
  <c r="AC169" i="10" s="1"/>
  <c r="AC75" i="22"/>
  <c r="AC45" i="22" s="1"/>
  <c r="AC96" i="22"/>
  <c r="AA183" i="10"/>
  <c r="R42" i="15"/>
  <c r="S25" i="15"/>
  <c r="AD163" i="10" l="1"/>
  <c r="W10" i="15"/>
  <c r="V10" i="15"/>
  <c r="AC163" i="10"/>
  <c r="AH51" i="13"/>
  <c r="AG67" i="13"/>
  <c r="AG67" i="18"/>
  <c r="AI64" i="13"/>
  <c r="T10" i="15"/>
  <c r="AA163" i="10"/>
  <c r="AK89" i="13"/>
  <c r="AJ112" i="13"/>
  <c r="AK85" i="4"/>
  <c r="AJ108" i="4"/>
  <c r="AK83" i="4"/>
  <c r="AJ106" i="4"/>
  <c r="AK90" i="13"/>
  <c r="AJ113" i="13"/>
  <c r="AK92" i="13"/>
  <c r="AJ115" i="13"/>
  <c r="AK93" i="9"/>
  <c r="AJ116" i="9"/>
  <c r="AK93" i="13"/>
  <c r="AJ116" i="13"/>
  <c r="AK89" i="8"/>
  <c r="AJ112" i="8"/>
  <c r="AK89" i="4"/>
  <c r="AJ112" i="4"/>
  <c r="AK85" i="13"/>
  <c r="AJ108" i="13"/>
  <c r="AK85" i="9"/>
  <c r="AJ108" i="9"/>
  <c r="AI126" i="9"/>
  <c r="AB136" i="10"/>
  <c r="AB85" i="22"/>
  <c r="AB128" i="10"/>
  <c r="AB146" i="10" s="1"/>
  <c r="AK87" i="9"/>
  <c r="AJ110" i="9"/>
  <c r="AK90" i="8"/>
  <c r="AJ113" i="8"/>
  <c r="AK91" i="8"/>
  <c r="AJ114" i="8"/>
  <c r="AK83" i="8"/>
  <c r="AJ106" i="8"/>
  <c r="Y180" i="10"/>
  <c r="Y178" i="10" s="1"/>
  <c r="Y98" i="22"/>
  <c r="Y48" i="22" s="1"/>
  <c r="AK79" i="18"/>
  <c r="AJ102" i="18"/>
  <c r="AD138" i="10"/>
  <c r="AD87" i="22"/>
  <c r="AD94" i="22" s="1"/>
  <c r="AD101" i="22" s="1"/>
  <c r="AD181" i="10" s="1"/>
  <c r="AK79" i="8"/>
  <c r="AJ102" i="8"/>
  <c r="AJ18" i="8"/>
  <c r="AJ28" i="8"/>
  <c r="AD139" i="10"/>
  <c r="AD88" i="22"/>
  <c r="AD95" i="22" s="1"/>
  <c r="AD102" i="22" s="1"/>
  <c r="AD182" i="10" s="1"/>
  <c r="H99" i="13"/>
  <c r="H122" i="13"/>
  <c r="AC87" i="22"/>
  <c r="AC94" i="22" s="1"/>
  <c r="AC101" i="22" s="1"/>
  <c r="AC181" i="10" s="1"/>
  <c r="AC138" i="10"/>
  <c r="AK81" i="13"/>
  <c r="AJ104" i="13"/>
  <c r="AK89" i="9"/>
  <c r="AJ112" i="9"/>
  <c r="AK88" i="18"/>
  <c r="AJ111" i="18"/>
  <c r="AK84" i="8"/>
  <c r="AJ107" i="8"/>
  <c r="AE9" i="15"/>
  <c r="AL43" i="22"/>
  <c r="AM115" i="10"/>
  <c r="AL148" i="10"/>
  <c r="AL167" i="10" s="1"/>
  <c r="AL161" i="10"/>
  <c r="AL42" i="8"/>
  <c r="AL46" i="8" s="1"/>
  <c r="AL120" i="10" s="1"/>
  <c r="AL56" i="22" s="1"/>
  <c r="AL70" i="22" s="1"/>
  <c r="AL77" i="22" s="1"/>
  <c r="AL171" i="10" s="1"/>
  <c r="AK46" i="8"/>
  <c r="AK120" i="10" s="1"/>
  <c r="AK56" i="22" s="1"/>
  <c r="AK70" i="22" s="1"/>
  <c r="AK77" i="22" s="1"/>
  <c r="AK171" i="10" s="1"/>
  <c r="AL7" i="9"/>
  <c r="AK15" i="9"/>
  <c r="AK17" i="9" s="1"/>
  <c r="AK16" i="9"/>
  <c r="AK30" i="9"/>
  <c r="AK57" i="9"/>
  <c r="AK78" i="9"/>
  <c r="AJ18" i="9"/>
  <c r="AJ28" i="9"/>
  <c r="AK90" i="9"/>
  <c r="AJ113" i="9"/>
  <c r="AK87" i="8"/>
  <c r="AJ110" i="8"/>
  <c r="AK89" i="18"/>
  <c r="AJ112" i="18"/>
  <c r="AK83" i="18"/>
  <c r="AJ106" i="18"/>
  <c r="AH19" i="18"/>
  <c r="AH55" i="18"/>
  <c r="AH60" i="18" s="1"/>
  <c r="AI126" i="10"/>
  <c r="AI19" i="4"/>
  <c r="AK76" i="4"/>
  <c r="AJ99" i="4"/>
  <c r="AK85" i="8"/>
  <c r="AJ108" i="8"/>
  <c r="AG67" i="9"/>
  <c r="AK86" i="8"/>
  <c r="AJ109" i="8"/>
  <c r="AK84" i="18"/>
  <c r="AJ107" i="18"/>
  <c r="AK88" i="13"/>
  <c r="AJ111" i="13"/>
  <c r="AK86" i="4"/>
  <c r="AJ109" i="4"/>
  <c r="AI18" i="18"/>
  <c r="AI28" i="18"/>
  <c r="AK80" i="18"/>
  <c r="AJ103" i="18"/>
  <c r="AK83" i="13"/>
  <c r="AJ106" i="13"/>
  <c r="AK83" i="9"/>
  <c r="AJ106" i="9"/>
  <c r="AE157" i="10"/>
  <c r="X10" i="15" s="1"/>
  <c r="AD128" i="10"/>
  <c r="AD146" i="10" s="1"/>
  <c r="AK78" i="4"/>
  <c r="AJ101" i="4"/>
  <c r="AK84" i="4"/>
  <c r="AJ107" i="4"/>
  <c r="AJ42" i="13"/>
  <c r="AI46" i="13"/>
  <c r="AI122" i="10" s="1"/>
  <c r="AI58" i="22" s="1"/>
  <c r="AI72" i="22" s="1"/>
  <c r="AI79" i="22" s="1"/>
  <c r="AI173" i="10" s="1"/>
  <c r="AK82" i="4"/>
  <c r="AJ105" i="4"/>
  <c r="AK93" i="18"/>
  <c r="AJ116" i="18"/>
  <c r="I99" i="8"/>
  <c r="I122" i="8"/>
  <c r="AK91" i="18"/>
  <c r="AJ114" i="18"/>
  <c r="AK91" i="9"/>
  <c r="AJ114" i="9"/>
  <c r="AL7" i="13"/>
  <c r="AK15" i="13"/>
  <c r="AK16" i="13"/>
  <c r="AK30" i="13"/>
  <c r="AK57" i="13"/>
  <c r="AK78" i="13"/>
  <c r="AJ17" i="13"/>
  <c r="AK80" i="13"/>
  <c r="AJ103" i="13"/>
  <c r="AK90" i="18"/>
  <c r="AJ113" i="18"/>
  <c r="AK81" i="4"/>
  <c r="AJ104" i="4"/>
  <c r="AK79" i="4"/>
  <c r="AJ102" i="4"/>
  <c r="AH64" i="13"/>
  <c r="AH60" i="13"/>
  <c r="AH19" i="9"/>
  <c r="AH55" i="9"/>
  <c r="AH50" i="9" s="1"/>
  <c r="AH51" i="9" s="1"/>
  <c r="AH67" i="9" s="1"/>
  <c r="AI19" i="9"/>
  <c r="AI55" i="9"/>
  <c r="AI50" i="9" s="1"/>
  <c r="AI51" i="9" s="1"/>
  <c r="AK80" i="9"/>
  <c r="AJ103" i="9"/>
  <c r="AJ17" i="18"/>
  <c r="AL7" i="18"/>
  <c r="AK15" i="18"/>
  <c r="AK16" i="18"/>
  <c r="AK57" i="18"/>
  <c r="AK78" i="18"/>
  <c r="AK82" i="13"/>
  <c r="AJ105" i="13"/>
  <c r="AK84" i="13"/>
  <c r="AJ107" i="13"/>
  <c r="AK82" i="18"/>
  <c r="AJ105" i="18"/>
  <c r="AK82" i="8"/>
  <c r="AJ105" i="8"/>
  <c r="AK57" i="8"/>
  <c r="AK78" i="8"/>
  <c r="AK16" i="8"/>
  <c r="AL7" i="8"/>
  <c r="AK15" i="8"/>
  <c r="AK17" i="8" s="1"/>
  <c r="AK30" i="8"/>
  <c r="AK84" i="9"/>
  <c r="AJ107" i="9"/>
  <c r="AK80" i="4"/>
  <c r="AJ103" i="4"/>
  <c r="AK87" i="18"/>
  <c r="AJ110" i="18"/>
  <c r="AE85" i="22"/>
  <c r="AE92" i="22" s="1"/>
  <c r="AE99" i="22" s="1"/>
  <c r="AE179" i="10" s="1"/>
  <c r="AE136" i="10"/>
  <c r="S27" i="15"/>
  <c r="AI18" i="13"/>
  <c r="AI28" i="13"/>
  <c r="AA135" i="10"/>
  <c r="AA153" i="10" s="1"/>
  <c r="Z100" i="22"/>
  <c r="Z91" i="22"/>
  <c r="AK88" i="9"/>
  <c r="AJ111" i="9"/>
  <c r="AK81" i="9"/>
  <c r="AJ104" i="9"/>
  <c r="AK86" i="13"/>
  <c r="AJ109" i="13"/>
  <c r="AK68" i="22"/>
  <c r="AK82" i="22"/>
  <c r="AF87" i="22"/>
  <c r="AF94" i="22" s="1"/>
  <c r="AF101" i="22" s="1"/>
  <c r="AF181" i="10" s="1"/>
  <c r="AF138" i="10"/>
  <c r="AK79" i="9"/>
  <c r="AJ102" i="9"/>
  <c r="AH50" i="18"/>
  <c r="AH51" i="18" s="1"/>
  <c r="AI122" i="4"/>
  <c r="AI57" i="4" s="1"/>
  <c r="AI58" i="4" s="1"/>
  <c r="AI59" i="4" s="1"/>
  <c r="AF129" i="10"/>
  <c r="AF62" i="4"/>
  <c r="AF61" i="4"/>
  <c r="AF63" i="4"/>
  <c r="AK85" i="18"/>
  <c r="AJ108" i="18"/>
  <c r="AK82" i="9"/>
  <c r="AJ105" i="9"/>
  <c r="H95" i="4"/>
  <c r="H118" i="4"/>
  <c r="AH64" i="8"/>
  <c r="AH64" i="18"/>
  <c r="AI126" i="18"/>
  <c r="AI58" i="18" s="1"/>
  <c r="AI59" i="18" s="1"/>
  <c r="AE138" i="10"/>
  <c r="AE87" i="22"/>
  <c r="AE94" i="22" s="1"/>
  <c r="AE101" i="22" s="1"/>
  <c r="AE181" i="10" s="1"/>
  <c r="AK80" i="8"/>
  <c r="AJ103" i="8"/>
  <c r="AE137" i="10"/>
  <c r="AE86" i="22"/>
  <c r="AE93" i="22" s="1"/>
  <c r="AE100" i="22" s="1"/>
  <c r="AE180" i="10" s="1"/>
  <c r="AF137" i="10"/>
  <c r="AF86" i="22"/>
  <c r="AF93" i="22" s="1"/>
  <c r="AF100" i="22" s="1"/>
  <c r="AF180" i="10" s="1"/>
  <c r="AC128" i="10"/>
  <c r="AC146" i="10" s="1"/>
  <c r="R17" i="15"/>
  <c r="AL7" i="4"/>
  <c r="AK15" i="4"/>
  <c r="AK16" i="4"/>
  <c r="AK20" i="4"/>
  <c r="AK56" i="4"/>
  <c r="AK74" i="4"/>
  <c r="AK24" i="4"/>
  <c r="AK88" i="8"/>
  <c r="AJ111" i="8"/>
  <c r="AK42" i="18"/>
  <c r="AJ46" i="18"/>
  <c r="AJ121" i="10" s="1"/>
  <c r="AJ57" i="22" s="1"/>
  <c r="AJ71" i="22" s="1"/>
  <c r="AJ78" i="22" s="1"/>
  <c r="AJ172" i="10" s="1"/>
  <c r="AG52" i="4"/>
  <c r="AG54" i="4" s="1"/>
  <c r="AG21" i="4" s="1"/>
  <c r="AG66" i="4" s="1"/>
  <c r="AG60" i="4"/>
  <c r="AA84" i="22"/>
  <c r="AD137" i="10"/>
  <c r="AD86" i="22"/>
  <c r="AD93" i="22" s="1"/>
  <c r="AD100" i="22" s="1"/>
  <c r="AD180" i="10" s="1"/>
  <c r="Q30" i="15"/>
  <c r="AB137" i="10"/>
  <c r="AB86" i="22"/>
  <c r="AB93" i="22" s="1"/>
  <c r="AB100" i="22" s="1"/>
  <c r="AB180" i="10" s="1"/>
  <c r="AC88" i="22"/>
  <c r="AC95" i="22" s="1"/>
  <c r="AC102" i="22" s="1"/>
  <c r="AC182" i="10" s="1"/>
  <c r="AC139" i="10"/>
  <c r="AG62" i="13"/>
  <c r="AG132" i="10"/>
  <c r="AG61" i="13"/>
  <c r="AG63" i="13"/>
  <c r="AG65" i="13" s="1"/>
  <c r="AG61" i="18"/>
  <c r="AG63" i="18"/>
  <c r="AG65" i="18" s="1"/>
  <c r="AG62" i="18"/>
  <c r="AG131" i="10"/>
  <c r="AA151" i="10"/>
  <c r="AG67" i="8"/>
  <c r="AF139" i="10"/>
  <c r="AF88" i="22"/>
  <c r="AF95" i="22" s="1"/>
  <c r="AF102" i="22" s="1"/>
  <c r="AF182" i="10" s="1"/>
  <c r="AK79" i="13"/>
  <c r="AJ102" i="13"/>
  <c r="U10" i="15"/>
  <c r="AB163" i="10"/>
  <c r="AK86" i="9"/>
  <c r="AJ109" i="9"/>
  <c r="AK86" i="18"/>
  <c r="AJ109" i="18"/>
  <c r="H99" i="9"/>
  <c r="H122" i="9"/>
  <c r="AK87" i="4"/>
  <c r="AJ110" i="4"/>
  <c r="AK92" i="8"/>
  <c r="AJ115" i="8"/>
  <c r="AK93" i="8"/>
  <c r="AJ116" i="8"/>
  <c r="AK88" i="4"/>
  <c r="AJ111" i="4"/>
  <c r="AK92" i="9"/>
  <c r="AJ115" i="9"/>
  <c r="AK91" i="13"/>
  <c r="AJ114" i="13"/>
  <c r="AK92" i="18"/>
  <c r="AJ115" i="18"/>
  <c r="AI126" i="8"/>
  <c r="AI58" i="8" s="1"/>
  <c r="AI59" i="8" s="1"/>
  <c r="AI18" i="8"/>
  <c r="AI28" i="8"/>
  <c r="AK77" i="4"/>
  <c r="AJ100" i="4"/>
  <c r="AK75" i="4"/>
  <c r="AJ98" i="4"/>
  <c r="AJ122" i="4" s="1"/>
  <c r="AJ57" i="4" s="1"/>
  <c r="AJ58" i="4" s="1"/>
  <c r="AJ59" i="4" s="1"/>
  <c r="AJ17" i="4"/>
  <c r="AJ18" i="4" s="1"/>
  <c r="AI38" i="4"/>
  <c r="AH49" i="4"/>
  <c r="AH52" i="4" s="1"/>
  <c r="AH54" i="4" s="1"/>
  <c r="AH21" i="4" s="1"/>
  <c r="AH66" i="4" s="1"/>
  <c r="AH43" i="4"/>
  <c r="AH119" i="10" s="1"/>
  <c r="AH55" i="22" s="1"/>
  <c r="AH69" i="22" s="1"/>
  <c r="AH76" i="22" s="1"/>
  <c r="AH170" i="10" s="1"/>
  <c r="AA100" i="22"/>
  <c r="AA91" i="22"/>
  <c r="AK81" i="8"/>
  <c r="AJ104" i="8"/>
  <c r="AH19" i="8"/>
  <c r="AH55" i="8"/>
  <c r="AH50" i="8" s="1"/>
  <c r="AH51" i="8" s="1"/>
  <c r="AK81" i="18"/>
  <c r="AJ104" i="18"/>
  <c r="AB139" i="10"/>
  <c r="AB88" i="22"/>
  <c r="AB95" i="22" s="1"/>
  <c r="AB102" i="22" s="1"/>
  <c r="AB182" i="10" s="1"/>
  <c r="I99" i="18"/>
  <c r="I122" i="18"/>
  <c r="AK87" i="13"/>
  <c r="AJ110" i="13"/>
  <c r="AG86" i="22"/>
  <c r="AG93" i="22" s="1"/>
  <c r="AG100" i="22" s="1"/>
  <c r="AG180" i="10" s="1"/>
  <c r="AG137" i="10"/>
  <c r="T25" i="15"/>
  <c r="S42" i="15"/>
  <c r="AC103" i="22"/>
  <c r="AC91" i="22"/>
  <c r="AE89" i="22"/>
  <c r="AE140" i="10"/>
  <c r="AE128" i="10"/>
  <c r="AE146" i="10" s="1"/>
  <c r="AE163" i="10"/>
  <c r="AE73" i="22"/>
  <c r="AE80" i="22" s="1"/>
  <c r="AE54" i="22"/>
  <c r="AG60" i="9"/>
  <c r="AG64" i="9"/>
  <c r="AG158" i="9"/>
  <c r="AG123" i="10"/>
  <c r="AI42" i="9"/>
  <c r="AH46" i="9"/>
  <c r="AH58" i="9"/>
  <c r="AH59" i="9" s="1"/>
  <c r="AF59" i="22"/>
  <c r="AF118" i="10"/>
  <c r="AF61" i="9"/>
  <c r="AF62" i="9"/>
  <c r="AF63" i="9"/>
  <c r="AF65" i="9" s="1"/>
  <c r="AF157" i="10" s="1"/>
  <c r="AF133" i="10"/>
  <c r="AD174" i="10"/>
  <c r="AD169" i="10" s="1"/>
  <c r="AD75" i="22"/>
  <c r="AD45" i="22" s="1"/>
  <c r="W15" i="15"/>
  <c r="W27" i="15" s="1"/>
  <c r="W41" i="15"/>
  <c r="AD135" i="10"/>
  <c r="AD153" i="10"/>
  <c r="AD96" i="22"/>
  <c r="AD84" i="22"/>
  <c r="AB183" i="10"/>
  <c r="AH67" i="8" l="1"/>
  <c r="AH67" i="18"/>
  <c r="AH61" i="18"/>
  <c r="AH63" i="18"/>
  <c r="AH65" i="18" s="1"/>
  <c r="AH62" i="18"/>
  <c r="AH131" i="10"/>
  <c r="AJ38" i="4"/>
  <c r="AI49" i="4"/>
  <c r="AI52" i="4" s="1"/>
  <c r="AI54" i="4" s="1"/>
  <c r="AI21" i="4" s="1"/>
  <c r="AI66" i="4" s="1"/>
  <c r="AI43" i="4"/>
  <c r="AI119" i="10" s="1"/>
  <c r="AI55" i="22" s="1"/>
  <c r="AI69" i="22" s="1"/>
  <c r="AI76" i="22" s="1"/>
  <c r="AI170" i="10" s="1"/>
  <c r="AI64" i="8"/>
  <c r="AL92" i="13"/>
  <c r="AL116" i="13" s="1"/>
  <c r="AK115" i="13"/>
  <c r="AL93" i="9"/>
  <c r="AL117" i="9" s="1"/>
  <c r="AK116" i="9"/>
  <c r="AL94" i="8"/>
  <c r="AL118" i="8" s="1"/>
  <c r="AK117" i="8"/>
  <c r="AL93" i="8"/>
  <c r="AL117" i="8" s="1"/>
  <c r="AK116" i="8"/>
  <c r="AL88" i="4"/>
  <c r="AL112" i="4" s="1"/>
  <c r="AK111" i="4"/>
  <c r="AL87" i="18"/>
  <c r="AL111" i="18" s="1"/>
  <c r="AK110" i="18"/>
  <c r="AL81" i="8"/>
  <c r="AL105" i="8" s="1"/>
  <c r="AK104" i="8"/>
  <c r="AL87" i="13"/>
  <c r="AL111" i="13" s="1"/>
  <c r="AK110" i="13"/>
  <c r="AL82" i="9"/>
  <c r="AL106" i="9" s="1"/>
  <c r="AK105" i="9"/>
  <c r="Z180" i="10"/>
  <c r="Z178" i="10" s="1"/>
  <c r="Z98" i="22"/>
  <c r="Z48" i="22" s="1"/>
  <c r="AI19" i="13"/>
  <c r="AI55" i="13"/>
  <c r="AI60" i="13" s="1"/>
  <c r="AL79" i="8"/>
  <c r="AL103" i="8" s="1"/>
  <c r="AK102" i="8"/>
  <c r="AL15" i="18"/>
  <c r="AL16" i="18"/>
  <c r="AL57" i="18"/>
  <c r="AL78" i="18"/>
  <c r="AL102" i="18" s="1"/>
  <c r="AI67" i="9"/>
  <c r="AH62" i="13"/>
  <c r="AH132" i="10"/>
  <c r="AH61" i="13"/>
  <c r="AH63" i="13"/>
  <c r="AH65" i="13" s="1"/>
  <c r="AJ18" i="13"/>
  <c r="AJ28" i="13"/>
  <c r="AL16" i="13"/>
  <c r="AL57" i="13"/>
  <c r="AL78" i="13"/>
  <c r="AL102" i="13" s="1"/>
  <c r="AL15" i="13"/>
  <c r="AL30" i="13"/>
  <c r="AL92" i="9"/>
  <c r="AL116" i="9" s="1"/>
  <c r="AK115" i="9"/>
  <c r="AL92" i="18"/>
  <c r="AL116" i="18" s="1"/>
  <c r="AK115" i="18"/>
  <c r="I100" i="8"/>
  <c r="I124" i="8" s="1"/>
  <c r="I123" i="8"/>
  <c r="AL94" i="18"/>
  <c r="AL118" i="18" s="1"/>
  <c r="AK117" i="18"/>
  <c r="AL83" i="4"/>
  <c r="AL107" i="4" s="1"/>
  <c r="AK106" i="4"/>
  <c r="AK42" i="13"/>
  <c r="AJ46" i="13"/>
  <c r="AJ122" i="10" s="1"/>
  <c r="AJ58" i="22" s="1"/>
  <c r="AJ72" i="22" s="1"/>
  <c r="AJ79" i="22" s="1"/>
  <c r="AJ173" i="10" s="1"/>
  <c r="AL85" i="4"/>
  <c r="AL109" i="4" s="1"/>
  <c r="AK108" i="4"/>
  <c r="AL79" i="4"/>
  <c r="AL103" i="4" s="1"/>
  <c r="AK102" i="4"/>
  <c r="AA152" i="10"/>
  <c r="AL84" i="9"/>
  <c r="AL108" i="9" s="1"/>
  <c r="AK107" i="9"/>
  <c r="AL84" i="13"/>
  <c r="AL108" i="13" s="1"/>
  <c r="AK107" i="13"/>
  <c r="AL81" i="18"/>
  <c r="AL105" i="18" s="1"/>
  <c r="AK104" i="18"/>
  <c r="AI19" i="18"/>
  <c r="AI55" i="18"/>
  <c r="AL87" i="4"/>
  <c r="AL111" i="4" s="1"/>
  <c r="AK110" i="4"/>
  <c r="AL89" i="13"/>
  <c r="AL113" i="13" s="1"/>
  <c r="AK112" i="13"/>
  <c r="AL85" i="18"/>
  <c r="AL109" i="18" s="1"/>
  <c r="AK108" i="18"/>
  <c r="AL87" i="8"/>
  <c r="AL111" i="8" s="1"/>
  <c r="AK110" i="8"/>
  <c r="AL88" i="13"/>
  <c r="AL112" i="13" s="1"/>
  <c r="AK111" i="13"/>
  <c r="I123" i="18"/>
  <c r="I100" i="18"/>
  <c r="I124" i="18" s="1"/>
  <c r="AL82" i="18"/>
  <c r="AL106" i="18" s="1"/>
  <c r="AK105" i="18"/>
  <c r="AL82" i="8"/>
  <c r="AL106" i="8" s="1"/>
  <c r="AK105" i="8"/>
  <c r="AA180" i="10"/>
  <c r="AA178" i="10" s="1"/>
  <c r="AA98" i="22"/>
  <c r="AA48" i="22" s="1"/>
  <c r="AJ19" i="4"/>
  <c r="AJ126" i="10"/>
  <c r="AL76" i="4"/>
  <c r="AL100" i="4" s="1"/>
  <c r="AK99" i="4"/>
  <c r="AL78" i="4"/>
  <c r="AL102" i="4" s="1"/>
  <c r="AK101" i="4"/>
  <c r="AI19" i="8"/>
  <c r="AI55" i="8"/>
  <c r="AI60" i="8" s="1"/>
  <c r="AJ126" i="13"/>
  <c r="AJ58" i="13" s="1"/>
  <c r="AJ59" i="13" s="1"/>
  <c r="AG138" i="10"/>
  <c r="AG87" i="22"/>
  <c r="AG94" i="22" s="1"/>
  <c r="AG101" i="22" s="1"/>
  <c r="AG181" i="10" s="1"/>
  <c r="AG139" i="10"/>
  <c r="AG88" i="22"/>
  <c r="AG95" i="22" s="1"/>
  <c r="AG102" i="22" s="1"/>
  <c r="AG182" i="10" s="1"/>
  <c r="Q34" i="15"/>
  <c r="Q45" i="15" s="1"/>
  <c r="R30" i="15"/>
  <c r="R34" i="15" s="1"/>
  <c r="AK46" i="18"/>
  <c r="AK121" i="10" s="1"/>
  <c r="AK57" i="22" s="1"/>
  <c r="AK71" i="22" s="1"/>
  <c r="AK78" i="22" s="1"/>
  <c r="AK172" i="10" s="1"/>
  <c r="AL42" i="18"/>
  <c r="AL46" i="18" s="1"/>
  <c r="AL121" i="10" s="1"/>
  <c r="AL57" i="22" s="1"/>
  <c r="AL71" i="22" s="1"/>
  <c r="AL78" i="22" s="1"/>
  <c r="AL172" i="10" s="1"/>
  <c r="AL89" i="8"/>
  <c r="AL113" i="8" s="1"/>
  <c r="AK112" i="8"/>
  <c r="AL75" i="4"/>
  <c r="AL99" i="4" s="1"/>
  <c r="AK98" i="4"/>
  <c r="AK17" i="4"/>
  <c r="AK18" i="4" s="1"/>
  <c r="S17" i="15"/>
  <c r="S38" i="15" s="1"/>
  <c r="R38" i="15"/>
  <c r="AI64" i="18"/>
  <c r="AI60" i="18"/>
  <c r="AH60" i="8"/>
  <c r="H119" i="4"/>
  <c r="H96" i="4"/>
  <c r="H120" i="4" s="1"/>
  <c r="AL83" i="9"/>
  <c r="AL107" i="9" s="1"/>
  <c r="AK106" i="9"/>
  <c r="AL86" i="18"/>
  <c r="AL110" i="18" s="1"/>
  <c r="AK109" i="18"/>
  <c r="AF85" i="22"/>
  <c r="AF92" i="22" s="1"/>
  <c r="AF99" i="22" s="1"/>
  <c r="AF179" i="10" s="1"/>
  <c r="AF136" i="10"/>
  <c r="AH60" i="4"/>
  <c r="AJ126" i="9"/>
  <c r="AI50" i="13"/>
  <c r="S33" i="15"/>
  <c r="S44" i="15" s="1"/>
  <c r="S30" i="15"/>
  <c r="S34" i="15" s="1"/>
  <c r="S45" i="15" s="1"/>
  <c r="AL88" i="18"/>
  <c r="AL112" i="18" s="1"/>
  <c r="AK111" i="18"/>
  <c r="AL81" i="4"/>
  <c r="AL105" i="4" s="1"/>
  <c r="AK104" i="4"/>
  <c r="AL85" i="9"/>
  <c r="AL109" i="9" s="1"/>
  <c r="AK108" i="9"/>
  <c r="AK18" i="8"/>
  <c r="AK28" i="8"/>
  <c r="AL83" i="8"/>
  <c r="AL107" i="8" s="1"/>
  <c r="AK106" i="8"/>
  <c r="AL83" i="18"/>
  <c r="AL107" i="18" s="1"/>
  <c r="AK106" i="18"/>
  <c r="AL85" i="13"/>
  <c r="AL109" i="13" s="1"/>
  <c r="AK108" i="13"/>
  <c r="AL83" i="13"/>
  <c r="AL107" i="13" s="1"/>
  <c r="AK106" i="13"/>
  <c r="AK17" i="18"/>
  <c r="AJ18" i="18"/>
  <c r="AJ28" i="18"/>
  <c r="AL81" i="9"/>
  <c r="AL105" i="9" s="1"/>
  <c r="AK104" i="9"/>
  <c r="AL80" i="4"/>
  <c r="AL104" i="4" s="1"/>
  <c r="AK103" i="4"/>
  <c r="AL82" i="4"/>
  <c r="AL106" i="4" s="1"/>
  <c r="AK105" i="4"/>
  <c r="AL91" i="18"/>
  <c r="AL115" i="18" s="1"/>
  <c r="AK114" i="18"/>
  <c r="AL81" i="13"/>
  <c r="AL105" i="13" s="1"/>
  <c r="AK104" i="13"/>
  <c r="AL79" i="13"/>
  <c r="AL103" i="13" s="1"/>
  <c r="AK102" i="13"/>
  <c r="AK17" i="13"/>
  <c r="AC84" i="22"/>
  <c r="AI50" i="18"/>
  <c r="AI51" i="18" s="1"/>
  <c r="AL86" i="8"/>
  <c r="AL110" i="8" s="1"/>
  <c r="AK109" i="8"/>
  <c r="AL77" i="4"/>
  <c r="AL101" i="4" s="1"/>
  <c r="AK100" i="4"/>
  <c r="AL84" i="18"/>
  <c r="AL108" i="18" s="1"/>
  <c r="AK107" i="18"/>
  <c r="AL90" i="18"/>
  <c r="AL114" i="18" s="1"/>
  <c r="AK113" i="18"/>
  <c r="AL88" i="8"/>
  <c r="AL112" i="8" s="1"/>
  <c r="AK111" i="8"/>
  <c r="AL91" i="9"/>
  <c r="AL115" i="9" s="1"/>
  <c r="AK114" i="9"/>
  <c r="AJ19" i="9"/>
  <c r="AJ55" i="9"/>
  <c r="AJ50" i="9" s="1"/>
  <c r="AJ51" i="9" s="1"/>
  <c r="AJ67" i="9" s="1"/>
  <c r="AL78" i="9"/>
  <c r="AL102" i="9" s="1"/>
  <c r="AL30" i="9"/>
  <c r="AL57" i="9"/>
  <c r="AL15" i="9"/>
  <c r="AL17" i="9" s="1"/>
  <c r="AL16" i="9"/>
  <c r="AL85" i="8"/>
  <c r="AL109" i="8" s="1"/>
  <c r="AK108" i="8"/>
  <c r="AL89" i="18"/>
  <c r="AL113" i="18" s="1"/>
  <c r="AK112" i="18"/>
  <c r="AL90" i="9"/>
  <c r="AL114" i="9" s="1"/>
  <c r="AK113" i="9"/>
  <c r="AL82" i="13"/>
  <c r="AL106" i="13" s="1"/>
  <c r="AK105" i="13"/>
  <c r="H100" i="13"/>
  <c r="H124" i="13" s="1"/>
  <c r="H123" i="13"/>
  <c r="AJ19" i="8"/>
  <c r="AJ55" i="8"/>
  <c r="AL80" i="8"/>
  <c r="AL104" i="8" s="1"/>
  <c r="AK103" i="8"/>
  <c r="AL80" i="18"/>
  <c r="AL104" i="18" s="1"/>
  <c r="AK103" i="18"/>
  <c r="AL84" i="8"/>
  <c r="AL108" i="8" s="1"/>
  <c r="AK107" i="8"/>
  <c r="AL92" i="8"/>
  <c r="AL116" i="8" s="1"/>
  <c r="AK115" i="8"/>
  <c r="AL91" i="8"/>
  <c r="AL115" i="8" s="1"/>
  <c r="AK114" i="8"/>
  <c r="AL88" i="9"/>
  <c r="AL112" i="9" s="1"/>
  <c r="AK111" i="9"/>
  <c r="AB92" i="22"/>
  <c r="AB84" i="22"/>
  <c r="AL86" i="9"/>
  <c r="AL110" i="9" s="1"/>
  <c r="AK109" i="9"/>
  <c r="AL86" i="13"/>
  <c r="AL110" i="13" s="1"/>
  <c r="AK109" i="13"/>
  <c r="AL90" i="4"/>
  <c r="AL114" i="4" s="1"/>
  <c r="AK113" i="4"/>
  <c r="AL90" i="8"/>
  <c r="AL114" i="8" s="1"/>
  <c r="AK113" i="8"/>
  <c r="AL94" i="13"/>
  <c r="AL118" i="13" s="1"/>
  <c r="AK117" i="13"/>
  <c r="AL94" i="9"/>
  <c r="AL118" i="9" s="1"/>
  <c r="AK117" i="9"/>
  <c r="AL93" i="13"/>
  <c r="AL117" i="13" s="1"/>
  <c r="AK116" i="13"/>
  <c r="AL91" i="13"/>
  <c r="AL115" i="13" s="1"/>
  <c r="AK114" i="13"/>
  <c r="AL84" i="4"/>
  <c r="AL108" i="4" s="1"/>
  <c r="AK107" i="4"/>
  <c r="AL86" i="4"/>
  <c r="AL110" i="4" s="1"/>
  <c r="AK109" i="4"/>
  <c r="AL90" i="13"/>
  <c r="AL114" i="13" s="1"/>
  <c r="AK113" i="13"/>
  <c r="T13" i="15"/>
  <c r="U13" i="15" s="1"/>
  <c r="V13" i="15" s="1"/>
  <c r="W13" i="15" s="1"/>
  <c r="X13" i="15" s="1"/>
  <c r="T15" i="15"/>
  <c r="T41" i="15"/>
  <c r="AI50" i="8"/>
  <c r="AI51" i="8" s="1"/>
  <c r="AL93" i="18"/>
  <c r="AL117" i="18" s="1"/>
  <c r="AK116" i="18"/>
  <c r="AL89" i="4"/>
  <c r="AL113" i="4" s="1"/>
  <c r="AK112" i="4"/>
  <c r="H100" i="9"/>
  <c r="H124" i="9" s="1"/>
  <c r="H123" i="9"/>
  <c r="AL87" i="9"/>
  <c r="AL111" i="9" s="1"/>
  <c r="AK110" i="9"/>
  <c r="U15" i="15"/>
  <c r="U37" i="15" s="1"/>
  <c r="U41" i="15"/>
  <c r="AL80" i="13"/>
  <c r="AL104" i="13" s="1"/>
  <c r="AK103" i="13"/>
  <c r="AG129" i="10"/>
  <c r="AG62" i="4"/>
  <c r="AG61" i="4"/>
  <c r="AG63" i="4"/>
  <c r="AL15" i="4"/>
  <c r="AL16" i="4"/>
  <c r="AL24" i="4"/>
  <c r="AL20" i="4"/>
  <c r="AL56" i="4"/>
  <c r="AL74" i="4"/>
  <c r="AL98" i="4" s="1"/>
  <c r="AL122" i="4" s="1"/>
  <c r="AL57" i="4" s="1"/>
  <c r="AL58" i="4" s="1"/>
  <c r="AL59" i="4" s="1"/>
  <c r="AL80" i="9"/>
  <c r="AL104" i="9" s="1"/>
  <c r="AK103" i="9"/>
  <c r="AL89" i="9"/>
  <c r="AL113" i="9" s="1"/>
  <c r="AK112" i="9"/>
  <c r="AA149" i="10"/>
  <c r="AA142" i="10"/>
  <c r="AA144" i="10" s="1"/>
  <c r="AA150" i="10"/>
  <c r="AL15" i="8"/>
  <c r="AL17" i="8" s="1"/>
  <c r="AL16" i="8"/>
  <c r="AL30" i="8"/>
  <c r="AL57" i="8"/>
  <c r="AL78" i="8"/>
  <c r="AL102" i="8" s="1"/>
  <c r="AL126" i="8" s="1"/>
  <c r="AL58" i="8" s="1"/>
  <c r="AL59" i="8" s="1"/>
  <c r="AL79" i="18"/>
  <c r="AL103" i="18" s="1"/>
  <c r="AK102" i="18"/>
  <c r="AK126" i="18" s="1"/>
  <c r="AK58" i="18" s="1"/>
  <c r="AK59" i="18" s="1"/>
  <c r="AL79" i="9"/>
  <c r="AL103" i="9" s="1"/>
  <c r="AK102" i="9"/>
  <c r="AK126" i="9" s="1"/>
  <c r="AK18" i="9"/>
  <c r="AK28" i="9"/>
  <c r="AL68" i="22"/>
  <c r="AL82" i="22"/>
  <c r="AC135" i="10"/>
  <c r="AJ50" i="8"/>
  <c r="AJ126" i="8"/>
  <c r="AJ58" i="8" s="1"/>
  <c r="AJ59" i="8" s="1"/>
  <c r="AJ126" i="18"/>
  <c r="AJ58" i="18" s="1"/>
  <c r="AJ59" i="18" s="1"/>
  <c r="AB135" i="10"/>
  <c r="AB149" i="10" s="1"/>
  <c r="AH67" i="13"/>
  <c r="AI51" i="13"/>
  <c r="V27" i="15"/>
  <c r="V33" i="15" s="1"/>
  <c r="V44" i="15" s="1"/>
  <c r="V15" i="15"/>
  <c r="V37" i="15" s="1"/>
  <c r="V41" i="15"/>
  <c r="AD103" i="22"/>
  <c r="AD91" i="22"/>
  <c r="AD150" i="10"/>
  <c r="AD151" i="10"/>
  <c r="AD152" i="10"/>
  <c r="AD142" i="10"/>
  <c r="AD144" i="10" s="1"/>
  <c r="AD149" i="10"/>
  <c r="W33" i="15"/>
  <c r="W37" i="15"/>
  <c r="AF89" i="22"/>
  <c r="AF140" i="10"/>
  <c r="AF128" i="10"/>
  <c r="AF146" i="10" s="1"/>
  <c r="Y10" i="15"/>
  <c r="AF163" i="10"/>
  <c r="AF73" i="22"/>
  <c r="AF80" i="22" s="1"/>
  <c r="AF54" i="22"/>
  <c r="AH60" i="9"/>
  <c r="AH64" i="9"/>
  <c r="AH158" i="9"/>
  <c r="AH123" i="10"/>
  <c r="AJ42" i="9"/>
  <c r="AI46" i="9"/>
  <c r="AI58" i="9"/>
  <c r="AI59" i="9" s="1"/>
  <c r="AG59" i="22"/>
  <c r="AG118" i="10"/>
  <c r="AG61" i="9"/>
  <c r="AG62" i="9"/>
  <c r="AG63" i="9"/>
  <c r="AG65" i="9" s="1"/>
  <c r="AG157" i="10" s="1"/>
  <c r="AG133" i="10"/>
  <c r="AE174" i="10"/>
  <c r="AE169" i="10" s="1"/>
  <c r="AE75" i="22"/>
  <c r="AE45" i="22" s="1"/>
  <c r="X15" i="15"/>
  <c r="X27" i="15" s="1"/>
  <c r="X41" i="15"/>
  <c r="AE135" i="10"/>
  <c r="AE153" i="10"/>
  <c r="AE96" i="22"/>
  <c r="AE84" i="22"/>
  <c r="AC183" i="10"/>
  <c r="AC178" i="10" s="1"/>
  <c r="AC98" i="22"/>
  <c r="AC48" i="22" s="1"/>
  <c r="U25" i="15"/>
  <c r="T42" i="15"/>
  <c r="AJ51" i="8" l="1"/>
  <c r="AI67" i="8"/>
  <c r="AI67" i="18"/>
  <c r="AI62" i="8"/>
  <c r="AI130" i="10"/>
  <c r="AI61" i="8"/>
  <c r="AI63" i="8"/>
  <c r="AI65" i="8" s="1"/>
  <c r="AJ64" i="18"/>
  <c r="AK64" i="18"/>
  <c r="AL18" i="8"/>
  <c r="AL28" i="8"/>
  <c r="U27" i="15"/>
  <c r="T37" i="15"/>
  <c r="T17" i="15"/>
  <c r="AB99" i="22"/>
  <c r="AB91" i="22"/>
  <c r="AL18" i="9"/>
  <c r="AL28" i="9"/>
  <c r="AK18" i="13"/>
  <c r="AK28" i="13"/>
  <c r="AJ19" i="18"/>
  <c r="AJ55" i="18"/>
  <c r="AJ60" i="18" s="1"/>
  <c r="AI61" i="18"/>
  <c r="AI63" i="18"/>
  <c r="AI65" i="18" s="1"/>
  <c r="AI62" i="18"/>
  <c r="AI131" i="10"/>
  <c r="Y13" i="15"/>
  <c r="AJ64" i="8"/>
  <c r="AJ60" i="8"/>
  <c r="AC153" i="10"/>
  <c r="AC150" i="10"/>
  <c r="AC152" i="10"/>
  <c r="AC149" i="10"/>
  <c r="AC151" i="10"/>
  <c r="AC142" i="10"/>
  <c r="AC144" i="10" s="1"/>
  <c r="AK19" i="9"/>
  <c r="AK55" i="9"/>
  <c r="AK50" i="9" s="1"/>
  <c r="AK51" i="9" s="1"/>
  <c r="AK67" i="9" s="1"/>
  <c r="AL17" i="4"/>
  <c r="AL18" i="4" s="1"/>
  <c r="AG85" i="22"/>
  <c r="AG92" i="22" s="1"/>
  <c r="AG99" i="22" s="1"/>
  <c r="AG179" i="10" s="1"/>
  <c r="AG136" i="10"/>
  <c r="T27" i="15"/>
  <c r="AL126" i="9"/>
  <c r="AK126" i="13"/>
  <c r="AK58" i="13" s="1"/>
  <c r="AK59" i="13" s="1"/>
  <c r="AK18" i="18"/>
  <c r="AK28" i="18"/>
  <c r="AK19" i="8"/>
  <c r="AK50" i="8" s="1"/>
  <c r="AK55" i="8"/>
  <c r="AH62" i="8"/>
  <c r="AH130" i="10"/>
  <c r="AH61" i="8"/>
  <c r="AH63" i="8"/>
  <c r="AH65" i="8" s="1"/>
  <c r="AK122" i="4"/>
  <c r="AK57" i="4" s="1"/>
  <c r="AK58" i="4" s="1"/>
  <c r="AK59" i="4" s="1"/>
  <c r="R45" i="15"/>
  <c r="AJ64" i="13"/>
  <c r="AL126" i="13"/>
  <c r="AL58" i="13" s="1"/>
  <c r="AL59" i="13" s="1"/>
  <c r="AJ19" i="13"/>
  <c r="AJ55" i="13"/>
  <c r="AJ60" i="13" s="1"/>
  <c r="AL126" i="18"/>
  <c r="AL58" i="18" s="1"/>
  <c r="AL59" i="18" s="1"/>
  <c r="AK126" i="8"/>
  <c r="AK58" i="8" s="1"/>
  <c r="AK59" i="8" s="1"/>
  <c r="AI62" i="13"/>
  <c r="AI132" i="10"/>
  <c r="AI61" i="13"/>
  <c r="AI63" i="13"/>
  <c r="AI65" i="13" s="1"/>
  <c r="AI60" i="4"/>
  <c r="AK38" i="4"/>
  <c r="AJ49" i="4"/>
  <c r="AJ43" i="4"/>
  <c r="AJ119" i="10" s="1"/>
  <c r="AJ55" i="22" s="1"/>
  <c r="AJ69" i="22" s="1"/>
  <c r="AJ76" i="22" s="1"/>
  <c r="AJ170" i="10" s="1"/>
  <c r="AI67" i="13"/>
  <c r="AB153" i="10"/>
  <c r="AB142" i="10"/>
  <c r="AB144" i="10" s="1"/>
  <c r="AB151" i="10"/>
  <c r="AL64" i="8"/>
  <c r="AH129" i="10"/>
  <c r="AH62" i="4"/>
  <c r="AH61" i="4"/>
  <c r="AH63" i="4"/>
  <c r="AK126" i="10"/>
  <c r="AK19" i="4"/>
  <c r="AB152" i="10"/>
  <c r="AL42" i="13"/>
  <c r="AL46" i="13" s="1"/>
  <c r="AL122" i="10" s="1"/>
  <c r="AL58" i="22" s="1"/>
  <c r="AL72" i="22" s="1"/>
  <c r="AL79" i="22" s="1"/>
  <c r="AL173" i="10" s="1"/>
  <c r="AK46" i="13"/>
  <c r="AK122" i="10" s="1"/>
  <c r="AK58" i="22" s="1"/>
  <c r="AK72" i="22" s="1"/>
  <c r="AK79" i="22" s="1"/>
  <c r="AK173" i="10" s="1"/>
  <c r="AL17" i="13"/>
  <c r="AJ50" i="13"/>
  <c r="AJ51" i="13" s="1"/>
  <c r="AH139" i="10"/>
  <c r="AH88" i="22"/>
  <c r="AH95" i="22" s="1"/>
  <c r="AH102" i="22" s="1"/>
  <c r="AH182" i="10" s="1"/>
  <c r="AL17" i="18"/>
  <c r="AB150" i="10"/>
  <c r="AH138" i="10"/>
  <c r="AH87" i="22"/>
  <c r="AH94" i="22" s="1"/>
  <c r="AH101" i="22" s="1"/>
  <c r="AH181" i="10" s="1"/>
  <c r="V25" i="15"/>
  <c r="U42" i="15"/>
  <c r="AE103" i="22"/>
  <c r="AE91" i="22"/>
  <c r="AE150" i="10"/>
  <c r="AE151" i="10"/>
  <c r="AE152" i="10"/>
  <c r="AE142" i="10"/>
  <c r="AE144" i="10" s="1"/>
  <c r="AE149" i="10"/>
  <c r="X33" i="15"/>
  <c r="X37" i="15"/>
  <c r="AG89" i="22"/>
  <c r="AG140" i="10"/>
  <c r="AG128" i="10"/>
  <c r="AG146" i="10" s="1"/>
  <c r="Z10" i="15"/>
  <c r="AG163" i="10"/>
  <c r="AG73" i="22"/>
  <c r="AG80" i="22" s="1"/>
  <c r="AG54" i="22"/>
  <c r="AI60" i="9"/>
  <c r="AI64" i="9"/>
  <c r="AI158" i="9"/>
  <c r="AI123" i="10"/>
  <c r="AK42" i="9"/>
  <c r="AJ46" i="9"/>
  <c r="AJ58" i="9"/>
  <c r="AJ59" i="9" s="1"/>
  <c r="AH59" i="22"/>
  <c r="AH118" i="10"/>
  <c r="AH61" i="9"/>
  <c r="AH62" i="9"/>
  <c r="AH63" i="9"/>
  <c r="AH65" i="9" s="1"/>
  <c r="AH157" i="10" s="1"/>
  <c r="AH133" i="10"/>
  <c r="AF174" i="10"/>
  <c r="AF169" i="10" s="1"/>
  <c r="AF75" i="22"/>
  <c r="AF45" i="22" s="1"/>
  <c r="Y15" i="15"/>
  <c r="Y27" i="15" s="1"/>
  <c r="Y41" i="15"/>
  <c r="AF135" i="10"/>
  <c r="AF153" i="10"/>
  <c r="AF96" i="22"/>
  <c r="AF84" i="22"/>
  <c r="AD183" i="10"/>
  <c r="AD178" i="10" s="1"/>
  <c r="AD98" i="22"/>
  <c r="AD48" i="22" s="1"/>
  <c r="W44" i="15"/>
  <c r="AJ67" i="13" l="1"/>
  <c r="AJ62" i="13"/>
  <c r="AJ132" i="10"/>
  <c r="AJ61" i="13"/>
  <c r="AJ63" i="13"/>
  <c r="AJ65" i="13" s="1"/>
  <c r="AJ61" i="18"/>
  <c r="AJ63" i="18"/>
  <c r="AJ65" i="18" s="1"/>
  <c r="AJ62" i="18"/>
  <c r="AJ131" i="10"/>
  <c r="AH85" i="22"/>
  <c r="AH92" i="22" s="1"/>
  <c r="AH99" i="22" s="1"/>
  <c r="AH179" i="10" s="1"/>
  <c r="AH136" i="10"/>
  <c r="AL38" i="4"/>
  <c r="AK49" i="4"/>
  <c r="AK52" i="4" s="1"/>
  <c r="AK54" i="4" s="1"/>
  <c r="AK21" i="4" s="1"/>
  <c r="AK43" i="4"/>
  <c r="AK119" i="10" s="1"/>
  <c r="AK55" i="22" s="1"/>
  <c r="AK69" i="22" s="1"/>
  <c r="AK76" i="22" s="1"/>
  <c r="AK170" i="10" s="1"/>
  <c r="AI88" i="22"/>
  <c r="AI95" i="22" s="1"/>
  <c r="AI102" i="22" s="1"/>
  <c r="AI182" i="10" s="1"/>
  <c r="AI139" i="10"/>
  <c r="AL64" i="13"/>
  <c r="AK60" i="4"/>
  <c r="AK19" i="18"/>
  <c r="AK50" i="18" s="1"/>
  <c r="AK55" i="18"/>
  <c r="AK60" i="18" s="1"/>
  <c r="T33" i="15"/>
  <c r="T44" i="15" s="1"/>
  <c r="T30" i="15"/>
  <c r="T34" i="15" s="1"/>
  <c r="AJ62" i="8"/>
  <c r="AJ130" i="10"/>
  <c r="AJ61" i="8"/>
  <c r="AJ63" i="8"/>
  <c r="AJ65" i="8" s="1"/>
  <c r="T38" i="15"/>
  <c r="U17" i="15"/>
  <c r="U33" i="15"/>
  <c r="U44" i="15" s="1"/>
  <c r="U30" i="15"/>
  <c r="AJ67" i="8"/>
  <c r="AK51" i="8"/>
  <c r="Z13" i="15"/>
  <c r="AL18" i="18"/>
  <c r="AL28" i="18"/>
  <c r="AL18" i="13"/>
  <c r="AL28" i="13"/>
  <c r="AJ52" i="4"/>
  <c r="AJ54" i="4" s="1"/>
  <c r="AJ21" i="4" s="1"/>
  <c r="AJ66" i="4" s="1"/>
  <c r="AJ60" i="4"/>
  <c r="AI129" i="10"/>
  <c r="AI62" i="4"/>
  <c r="AI61" i="4"/>
  <c r="AI63" i="4"/>
  <c r="AL64" i="18"/>
  <c r="AH137" i="10"/>
  <c r="AH86" i="22"/>
  <c r="AH93" i="22" s="1"/>
  <c r="AH100" i="22" s="1"/>
  <c r="AH180" i="10" s="1"/>
  <c r="AJ50" i="18"/>
  <c r="AJ51" i="18" s="1"/>
  <c r="AL19" i="4"/>
  <c r="AL126" i="10"/>
  <c r="AI87" i="22"/>
  <c r="AI94" i="22" s="1"/>
  <c r="AI101" i="22" s="1"/>
  <c r="AI181" i="10" s="1"/>
  <c r="AI138" i="10"/>
  <c r="AK19" i="13"/>
  <c r="AK55" i="13"/>
  <c r="AK50" i="13" s="1"/>
  <c r="AK51" i="13" s="1"/>
  <c r="AL19" i="9"/>
  <c r="AL55" i="9"/>
  <c r="AL50" i="9" s="1"/>
  <c r="AL51" i="9" s="1"/>
  <c r="AL67" i="9" s="1"/>
  <c r="AB179" i="10"/>
  <c r="AB178" i="10" s="1"/>
  <c r="AB98" i="22"/>
  <c r="AB48" i="22" s="1"/>
  <c r="AL19" i="8"/>
  <c r="AL50" i="8" s="1"/>
  <c r="AL55" i="8"/>
  <c r="AL60" i="8" s="1"/>
  <c r="AI137" i="10"/>
  <c r="AI86" i="22"/>
  <c r="AI93" i="22" s="1"/>
  <c r="AI100" i="22" s="1"/>
  <c r="AI180" i="10" s="1"/>
  <c r="AK64" i="8"/>
  <c r="AK60" i="8"/>
  <c r="AK64" i="13"/>
  <c r="AK60" i="13"/>
  <c r="AF103" i="22"/>
  <c r="AF91" i="22"/>
  <c r="AF150" i="10"/>
  <c r="AF151" i="10"/>
  <c r="AF152" i="10"/>
  <c r="AF142" i="10"/>
  <c r="AF144" i="10" s="1"/>
  <c r="AF149" i="10"/>
  <c r="Y33" i="15"/>
  <c r="Y37" i="15"/>
  <c r="AH89" i="22"/>
  <c r="AH140" i="10"/>
  <c r="AH128" i="10"/>
  <c r="AH146" i="10" s="1"/>
  <c r="AA10" i="15"/>
  <c r="AH163" i="10"/>
  <c r="AH73" i="22"/>
  <c r="AH80" i="22" s="1"/>
  <c r="AH54" i="22"/>
  <c r="AJ60" i="9"/>
  <c r="AJ64" i="9"/>
  <c r="AJ158" i="9"/>
  <c r="AJ123" i="10"/>
  <c r="AL42" i="9"/>
  <c r="AK46" i="9"/>
  <c r="AK58" i="9"/>
  <c r="AK59" i="9" s="1"/>
  <c r="AI59" i="22"/>
  <c r="AI118" i="10"/>
  <c r="AI61" i="9"/>
  <c r="AI62" i="9"/>
  <c r="AI63" i="9"/>
  <c r="AI65" i="9" s="1"/>
  <c r="AI157" i="10" s="1"/>
  <c r="AI133" i="10"/>
  <c r="AG174" i="10"/>
  <c r="AG169" i="10" s="1"/>
  <c r="AG75" i="22"/>
  <c r="AG45" i="22" s="1"/>
  <c r="Z15" i="15"/>
  <c r="Z27" i="15" s="1"/>
  <c r="Z41" i="15"/>
  <c r="AG135" i="10"/>
  <c r="AG153" i="10"/>
  <c r="AG96" i="22"/>
  <c r="AG84" i="22"/>
  <c r="AE183" i="10"/>
  <c r="AE178" i="10" s="1"/>
  <c r="AE98" i="22"/>
  <c r="AE48" i="22" s="1"/>
  <c r="W25" i="15"/>
  <c r="V42" i="15"/>
  <c r="X44" i="15"/>
  <c r="AK67" i="13" l="1"/>
  <c r="AK62" i="13"/>
  <c r="AK132" i="10"/>
  <c r="AK61" i="13"/>
  <c r="AK63" i="13"/>
  <c r="AK65" i="13" s="1"/>
  <c r="AK62" i="8"/>
  <c r="AK130" i="10"/>
  <c r="AK61" i="8"/>
  <c r="AK63" i="8"/>
  <c r="AK65" i="8" s="1"/>
  <c r="AL62" i="8"/>
  <c r="AL130" i="10"/>
  <c r="AL61" i="8"/>
  <c r="AL63" i="8"/>
  <c r="AL65" i="8" s="1"/>
  <c r="AK51" i="18"/>
  <c r="AJ67" i="18"/>
  <c r="AJ129" i="10"/>
  <c r="AJ62" i="4"/>
  <c r="AJ61" i="4"/>
  <c r="AJ63" i="4"/>
  <c r="V30" i="15"/>
  <c r="U34" i="15"/>
  <c r="U45" i="15" s="1"/>
  <c r="U38" i="15"/>
  <c r="V17" i="15"/>
  <c r="AL49" i="4"/>
  <c r="AL43" i="4"/>
  <c r="AL119" i="10" s="1"/>
  <c r="AL55" i="22" s="1"/>
  <c r="AL69" i="22" s="1"/>
  <c r="AL76" i="22" s="1"/>
  <c r="AL170" i="10" s="1"/>
  <c r="AA13" i="15"/>
  <c r="AI85" i="22"/>
  <c r="AI92" i="22" s="1"/>
  <c r="AI99" i="22" s="1"/>
  <c r="AI179" i="10" s="1"/>
  <c r="AI136" i="10"/>
  <c r="AL19" i="13"/>
  <c r="AL50" i="13" s="1"/>
  <c r="AL51" i="13" s="1"/>
  <c r="AL67" i="13" s="1"/>
  <c r="AL55" i="13"/>
  <c r="AL60" i="13" s="1"/>
  <c r="AL19" i="18"/>
  <c r="AL50" i="18" s="1"/>
  <c r="AL55" i="18"/>
  <c r="AL60" i="18" s="1"/>
  <c r="AK67" i="8"/>
  <c r="AL51" i="8"/>
  <c r="AL67" i="8" s="1"/>
  <c r="AJ137" i="10"/>
  <c r="AJ86" i="22"/>
  <c r="AJ93" i="22" s="1"/>
  <c r="AJ100" i="22" s="1"/>
  <c r="AJ180" i="10" s="1"/>
  <c r="T45" i="15"/>
  <c r="AK61" i="18"/>
  <c r="AK63" i="18"/>
  <c r="AK65" i="18" s="1"/>
  <c r="AK62" i="18"/>
  <c r="AK131" i="10"/>
  <c r="AK129" i="10"/>
  <c r="AK62" i="4"/>
  <c r="AK61" i="4"/>
  <c r="AK63" i="4"/>
  <c r="AK66" i="4"/>
  <c r="AJ138" i="10"/>
  <c r="AJ87" i="22"/>
  <c r="AJ94" i="22" s="1"/>
  <c r="AJ101" i="22" s="1"/>
  <c r="AJ181" i="10" s="1"/>
  <c r="AJ139" i="10"/>
  <c r="AJ88" i="22"/>
  <c r="AJ95" i="22" s="1"/>
  <c r="AJ102" i="22" s="1"/>
  <c r="AJ182" i="10" s="1"/>
  <c r="X25" i="15"/>
  <c r="W42" i="15"/>
  <c r="AG103" i="22"/>
  <c r="AG91" i="22"/>
  <c r="AG150" i="10"/>
  <c r="AG151" i="10"/>
  <c r="AG152" i="10"/>
  <c r="AG142" i="10"/>
  <c r="AG144" i="10" s="1"/>
  <c r="AG149" i="10"/>
  <c r="Z33" i="15"/>
  <c r="Z37" i="15"/>
  <c r="AI89" i="22"/>
  <c r="AI140" i="10"/>
  <c r="AI128" i="10"/>
  <c r="AI146" i="10" s="1"/>
  <c r="AB10" i="15"/>
  <c r="AB13" i="15" s="1"/>
  <c r="AI163" i="10"/>
  <c r="AI73" i="22"/>
  <c r="AI80" i="22" s="1"/>
  <c r="AI54" i="22"/>
  <c r="AK60" i="9"/>
  <c r="AK64" i="9"/>
  <c r="AK158" i="9"/>
  <c r="AK123" i="10"/>
  <c r="AL46" i="9"/>
  <c r="AL58" i="9"/>
  <c r="AL59" i="9" s="1"/>
  <c r="AJ59" i="22"/>
  <c r="AJ118" i="10"/>
  <c r="AJ61" i="9"/>
  <c r="AJ62" i="9"/>
  <c r="AJ63" i="9"/>
  <c r="AJ65" i="9" s="1"/>
  <c r="AJ157" i="10" s="1"/>
  <c r="AJ133" i="10"/>
  <c r="AH174" i="10"/>
  <c r="AH169" i="10" s="1"/>
  <c r="AH75" i="22"/>
  <c r="AH45" i="22" s="1"/>
  <c r="AA15" i="15"/>
  <c r="AA27" i="15" s="1"/>
  <c r="AA41" i="15"/>
  <c r="AH135" i="10"/>
  <c r="AH153" i="10"/>
  <c r="AH96" i="22"/>
  <c r="AH84" i="22"/>
  <c r="AF183" i="10"/>
  <c r="AF178" i="10" s="1"/>
  <c r="AF98" i="22"/>
  <c r="AF48" i="22" s="1"/>
  <c r="Y44" i="15"/>
  <c r="AK138" i="10" l="1"/>
  <c r="AK87" i="22"/>
  <c r="AK94" i="22" s="1"/>
  <c r="AK101" i="22" s="1"/>
  <c r="AK181" i="10" s="1"/>
  <c r="V38" i="15"/>
  <c r="W17" i="15"/>
  <c r="AL137" i="10"/>
  <c r="AL86" i="22"/>
  <c r="AL93" i="22" s="1"/>
  <c r="AL100" i="22" s="1"/>
  <c r="AL180" i="10" s="1"/>
  <c r="AK86" i="22"/>
  <c r="AK93" i="22" s="1"/>
  <c r="AK100" i="22" s="1"/>
  <c r="AK180" i="10" s="1"/>
  <c r="AK137" i="10"/>
  <c r="AK139" i="10"/>
  <c r="AK88" i="22"/>
  <c r="AK95" i="22" s="1"/>
  <c r="AK102" i="22" s="1"/>
  <c r="AK182" i="10" s="1"/>
  <c r="AK85" i="22"/>
  <c r="AK92" i="22" s="1"/>
  <c r="AK99" i="22" s="1"/>
  <c r="AK179" i="10" s="1"/>
  <c r="AK136" i="10"/>
  <c r="AL61" i="18"/>
  <c r="AL63" i="18"/>
  <c r="AL65" i="18" s="1"/>
  <c r="AL62" i="18"/>
  <c r="AL131" i="10"/>
  <c r="AL62" i="13"/>
  <c r="AL132" i="10"/>
  <c r="AL61" i="13"/>
  <c r="AL63" i="13"/>
  <c r="AL65" i="13" s="1"/>
  <c r="AL52" i="4"/>
  <c r="AL54" i="4" s="1"/>
  <c r="AL21" i="4" s="1"/>
  <c r="AL66" i="4" s="1"/>
  <c r="AL60" i="4"/>
  <c r="V34" i="15"/>
  <c r="V45" i="15" s="1"/>
  <c r="W30" i="15"/>
  <c r="AJ85" i="22"/>
  <c r="AJ92" i="22" s="1"/>
  <c r="AJ99" i="22" s="1"/>
  <c r="AJ179" i="10" s="1"/>
  <c r="AJ136" i="10"/>
  <c r="AL51" i="18"/>
  <c r="AL67" i="18" s="1"/>
  <c r="AK67" i="18"/>
  <c r="AH103" i="22"/>
  <c r="AH91" i="22"/>
  <c r="AH150" i="10"/>
  <c r="AH151" i="10"/>
  <c r="AH152" i="10"/>
  <c r="AH142" i="10"/>
  <c r="AH144" i="10" s="1"/>
  <c r="AH149" i="10"/>
  <c r="AA33" i="15"/>
  <c r="AA37" i="15"/>
  <c r="AJ89" i="22"/>
  <c r="AJ140" i="10"/>
  <c r="AJ128" i="10"/>
  <c r="AJ146" i="10" s="1"/>
  <c r="AC10" i="15"/>
  <c r="AC13" i="15" s="1"/>
  <c r="AJ163" i="10"/>
  <c r="AJ73" i="22"/>
  <c r="AJ80" i="22" s="1"/>
  <c r="AJ54" i="22"/>
  <c r="AL60" i="9"/>
  <c r="AL64" i="9"/>
  <c r="AL158" i="9"/>
  <c r="AL123" i="10"/>
  <c r="AK59" i="22"/>
  <c r="AK118" i="10"/>
  <c r="AK61" i="9"/>
  <c r="AK62" i="9"/>
  <c r="AK63" i="9"/>
  <c r="AK65" i="9" s="1"/>
  <c r="AK157" i="10" s="1"/>
  <c r="AK133" i="10"/>
  <c r="AI174" i="10"/>
  <c r="AI169" i="10" s="1"/>
  <c r="AI75" i="22"/>
  <c r="AI45" i="22" s="1"/>
  <c r="AB15" i="15"/>
  <c r="AB27" i="15" s="1"/>
  <c r="AB41" i="15"/>
  <c r="AI135" i="10"/>
  <c r="AI153" i="10"/>
  <c r="AI96" i="22"/>
  <c r="AI84" i="22"/>
  <c r="AG183" i="10"/>
  <c r="AG178" i="10" s="1"/>
  <c r="AG98" i="22"/>
  <c r="AG48" i="22" s="1"/>
  <c r="Y25" i="15"/>
  <c r="X42" i="15"/>
  <c r="Z44" i="15"/>
  <c r="W34" i="15" l="1"/>
  <c r="X30" i="15"/>
  <c r="AL129" i="10"/>
  <c r="AL62" i="4"/>
  <c r="AL61" i="4"/>
  <c r="AL63" i="4"/>
  <c r="AL139" i="10"/>
  <c r="AL88" i="22"/>
  <c r="AL95" i="22" s="1"/>
  <c r="AL102" i="22" s="1"/>
  <c r="AL182" i="10" s="1"/>
  <c r="AL87" i="22"/>
  <c r="AL94" i="22" s="1"/>
  <c r="AL101" i="22" s="1"/>
  <c r="AL181" i="10" s="1"/>
  <c r="AL138" i="10"/>
  <c r="W38" i="15"/>
  <c r="X17" i="15"/>
  <c r="Z25" i="15"/>
  <c r="Y42" i="15"/>
  <c r="AI103" i="22"/>
  <c r="AI91" i="22"/>
  <c r="AI150" i="10"/>
  <c r="AI151" i="10"/>
  <c r="AI152" i="10"/>
  <c r="AI142" i="10"/>
  <c r="AI144" i="10" s="1"/>
  <c r="AI149" i="10"/>
  <c r="AB33" i="15"/>
  <c r="AB37" i="15"/>
  <c r="AK89" i="22"/>
  <c r="AK140" i="10"/>
  <c r="AK128" i="10"/>
  <c r="AK146" i="10" s="1"/>
  <c r="AD10" i="15"/>
  <c r="AD13" i="15" s="1"/>
  <c r="AK163" i="10"/>
  <c r="AK73" i="22"/>
  <c r="AK80" i="22" s="1"/>
  <c r="AK54" i="22"/>
  <c r="AL59" i="22"/>
  <c r="AL118" i="10"/>
  <c r="AL61" i="9"/>
  <c r="AL62" i="9"/>
  <c r="AL63" i="9"/>
  <c r="AL65" i="9" s="1"/>
  <c r="AL157" i="10" s="1"/>
  <c r="AL133" i="10"/>
  <c r="AJ174" i="10"/>
  <c r="AJ169" i="10" s="1"/>
  <c r="AJ75" i="22"/>
  <c r="AJ45" i="22" s="1"/>
  <c r="AC15" i="15"/>
  <c r="AC27" i="15"/>
  <c r="AC41" i="15"/>
  <c r="AJ135" i="10"/>
  <c r="AJ153" i="10" s="1"/>
  <c r="AJ96" i="22"/>
  <c r="AJ84" i="22"/>
  <c r="AH183" i="10"/>
  <c r="AH178" i="10" s="1"/>
  <c r="AH98" i="22"/>
  <c r="AH48" i="22" s="1"/>
  <c r="AA44" i="15"/>
  <c r="AL85" i="22" l="1"/>
  <c r="AL92" i="22" s="1"/>
  <c r="AL99" i="22" s="1"/>
  <c r="AL179" i="10" s="1"/>
  <c r="AL136" i="10"/>
  <c r="W45" i="15"/>
  <c r="Y17" i="15"/>
  <c r="X38" i="15"/>
  <c r="X34" i="15"/>
  <c r="Y30" i="15"/>
  <c r="AJ103" i="22"/>
  <c r="AJ91" i="22"/>
  <c r="AJ150" i="10"/>
  <c r="AJ151" i="10"/>
  <c r="AJ152" i="10"/>
  <c r="AJ142" i="10"/>
  <c r="AJ144" i="10" s="1"/>
  <c r="AJ149" i="10"/>
  <c r="AC33" i="15"/>
  <c r="AC37" i="15"/>
  <c r="AL89" i="22"/>
  <c r="AL140" i="10"/>
  <c r="AL128" i="10"/>
  <c r="AL146" i="10" s="1"/>
  <c r="AE10" i="15"/>
  <c r="AE13" i="15" s="1"/>
  <c r="AL163" i="10"/>
  <c r="AL73" i="22"/>
  <c r="AL80" i="22" s="1"/>
  <c r="AL54" i="22"/>
  <c r="AK174" i="10"/>
  <c r="AK169" i="10" s="1"/>
  <c r="AK75" i="22"/>
  <c r="AK45" i="22" s="1"/>
  <c r="AD15" i="15"/>
  <c r="AD27" i="15"/>
  <c r="AD41" i="15"/>
  <c r="AK135" i="10"/>
  <c r="AK153" i="10" s="1"/>
  <c r="AK96" i="22"/>
  <c r="AK84" i="22"/>
  <c r="AI183" i="10"/>
  <c r="AI178" i="10" s="1"/>
  <c r="AI98" i="22"/>
  <c r="AI48" i="22" s="1"/>
  <c r="AA25" i="15"/>
  <c r="Z42" i="15"/>
  <c r="AB44" i="15"/>
  <c r="Z30" i="15" l="1"/>
  <c r="Y34" i="15"/>
  <c r="X45" i="15"/>
  <c r="Z17" i="15"/>
  <c r="Y38" i="15"/>
  <c r="AB25" i="15"/>
  <c r="AA42" i="15"/>
  <c r="AK103" i="22"/>
  <c r="AK91" i="22"/>
  <c r="AK150" i="10"/>
  <c r="AK151" i="10"/>
  <c r="AK152" i="10"/>
  <c r="AK142" i="10"/>
  <c r="AK144" i="10" s="1"/>
  <c r="AK149" i="10"/>
  <c r="AD33" i="15"/>
  <c r="AD37" i="15"/>
  <c r="AL174" i="10"/>
  <c r="AL169" i="10" s="1"/>
  <c r="AL75" i="22"/>
  <c r="AL45" i="22" s="1"/>
  <c r="AE15" i="15"/>
  <c r="AE27" i="15"/>
  <c r="AE41" i="15"/>
  <c r="AL135" i="10"/>
  <c r="AL153" i="10" s="1"/>
  <c r="AL96" i="22"/>
  <c r="AL84" i="22"/>
  <c r="AJ183" i="10"/>
  <c r="AJ178" i="10" s="1"/>
  <c r="AJ98" i="22"/>
  <c r="AJ48" i="22" s="1"/>
  <c r="AC44" i="15"/>
  <c r="Z38" i="15" l="1"/>
  <c r="AA17" i="15"/>
  <c r="Z34" i="15"/>
  <c r="Z45" i="15" s="1"/>
  <c r="AA30" i="15"/>
  <c r="Y45" i="15"/>
  <c r="AL103" i="22"/>
  <c r="AL91" i="22"/>
  <c r="AL150" i="10"/>
  <c r="AL151" i="10"/>
  <c r="AL152" i="10"/>
  <c r="AL142" i="10"/>
  <c r="AL144" i="10" s="1"/>
  <c r="AL149" i="10"/>
  <c r="AE33" i="15"/>
  <c r="AE37" i="15"/>
  <c r="AK183" i="10"/>
  <c r="AK178" i="10" s="1"/>
  <c r="AK98" i="22"/>
  <c r="AK48" i="22" s="1"/>
  <c r="AC25" i="15"/>
  <c r="AB42" i="15"/>
  <c r="AD44" i="15"/>
  <c r="AB30" i="15" l="1"/>
  <c r="AA34" i="15"/>
  <c r="AB17" i="15"/>
  <c r="AA38" i="15"/>
  <c r="AD25" i="15"/>
  <c r="AC42" i="15"/>
  <c r="AL183" i="10"/>
  <c r="AL178" i="10" s="1"/>
  <c r="AL98" i="22"/>
  <c r="AL48" i="22" s="1"/>
  <c r="AE44" i="15"/>
  <c r="AA45" i="15" l="1"/>
  <c r="AB38" i="15"/>
  <c r="AC17" i="15"/>
  <c r="AB34" i="15"/>
  <c r="AB45" i="15" s="1"/>
  <c r="AC30" i="15"/>
  <c r="AE25" i="15"/>
  <c r="AE42" i="15" s="1"/>
  <c r="AD42" i="15"/>
  <c r="AC34" i="15" l="1"/>
  <c r="AD30" i="15"/>
  <c r="AC38" i="15"/>
  <c r="AD17" i="15"/>
  <c r="AC45" i="15" l="1"/>
  <c r="AE17" i="15"/>
  <c r="AE38" i="15" s="1"/>
  <c r="AD38" i="15"/>
  <c r="AE30" i="15"/>
  <c r="AE34" i="15" s="1"/>
  <c r="AE45" i="15" s="1"/>
  <c r="AD34" i="15"/>
  <c r="AD45" i="15" s="1"/>
</calcChain>
</file>

<file path=xl/sharedStrings.xml><?xml version="1.0" encoding="utf-8"?>
<sst xmlns="http://schemas.openxmlformats.org/spreadsheetml/2006/main" count="1215" uniqueCount="682">
  <si>
    <t>Emission rate (CO2 per gallon) w/o carbon tax</t>
  </si>
  <si>
    <t>Emission rate (CO2 per gallon) w/ carbon tax</t>
  </si>
  <si>
    <t>Emission rate (CO2 per btu) w/o carbon tax</t>
  </si>
  <si>
    <t>Emission rate (CO2 per btu) w/ carbon tax</t>
  </si>
  <si>
    <t xml:space="preserve">  from Electricity</t>
  </si>
  <si>
    <t xml:space="preserve">  from "Other"</t>
  </si>
  <si>
    <t>"Other" fuel demand factor due to this yr's price increase</t>
  </si>
  <si>
    <t xml:space="preserve"> ¢/gal</t>
  </si>
  <si>
    <r>
      <t xml:space="preserve">Parameters that pivot directly off assumptions in </t>
    </r>
    <r>
      <rPr>
        <b/>
        <sz val="9"/>
        <color indexed="48"/>
        <rFont val="Arial"/>
        <family val="2"/>
      </rPr>
      <t>Summary</t>
    </r>
    <r>
      <rPr>
        <sz val="9"/>
        <color indexed="48"/>
        <rFont val="Arial"/>
        <family val="2"/>
      </rPr>
      <t xml:space="preserve"> worksheet are shown in blue.</t>
    </r>
  </si>
  <si>
    <t>Product of two earlier ratios, above</t>
  </si>
  <si>
    <t>Ratio (due to carbon tax)</t>
  </si>
  <si>
    <r>
      <t xml:space="preserve">Line losses </t>
    </r>
    <r>
      <rPr>
        <sz val="8"/>
        <rFont val="Arial"/>
        <family val="2"/>
      </rPr>
      <t>(% of generation that doesn't reach user)</t>
    </r>
  </si>
  <si>
    <t>U.S. gasoline sales with carbon tax, million gallons</t>
  </si>
  <si>
    <t>National "other" fuels sales with carbon tax, trillion btu</t>
  </si>
  <si>
    <t>U.S. Carbon Dioxide Emissions</t>
  </si>
  <si>
    <t>Aviation</t>
  </si>
  <si>
    <t>(Figure might appropriately be reduced over time to allow for penetration of biofuels.)</t>
  </si>
  <si>
    <r>
      <t xml:space="preserve">  from Electricity </t>
    </r>
    <r>
      <rPr>
        <sz val="8"/>
        <rFont val="Arial"/>
        <family val="2"/>
      </rPr>
      <t xml:space="preserve">(note: assumes 10,000 Btu/kWh; see CTC spreadsheet, </t>
    </r>
    <r>
      <rPr>
        <b/>
        <sz val="8"/>
        <rFont val="Arial"/>
        <family val="2"/>
      </rPr>
      <t>Carbon Content</t>
    </r>
    <r>
      <rPr>
        <sz val="8"/>
        <rFont val="Arial"/>
        <family val="2"/>
      </rPr>
      <t>)</t>
    </r>
  </si>
  <si>
    <t>Additional Energy Constants</t>
  </si>
  <si>
    <t>Million Btu per barrel of petroleum burned for electricity generation, 2006</t>
  </si>
  <si>
    <t>http://www.eia.doe.gov/emeu/mer/append_a.html, Table A3.</t>
  </si>
  <si>
    <t>Million Btu per barrel of petroleum products</t>
  </si>
  <si>
    <t>Monthly Energy Review, May 1998, Table A3. Includes gasoline and electricity utility fuel, but is close enough proxy for "Other."</t>
  </si>
  <si>
    <t>Million Btu per barrel, jet fuel</t>
  </si>
  <si>
    <t>lbs CO2 per gallon, jet fuel</t>
  </si>
  <si>
    <t>Tax per gallon of jet fuel</t>
  </si>
  <si>
    <t>U.S. jet fuel sales with carbon tax, million gallons</t>
  </si>
  <si>
    <t>% increase in average retail price of jet fuel over prior year</t>
  </si>
  <si>
    <t xml:space="preserve">Assumed price-elasticity of demand for jet fuel (long-run) </t>
  </si>
  <si>
    <t>Jet fuel demand factor due to this yr's price increase</t>
  </si>
  <si>
    <t>Jet Fuel usage, million gallons, w/o carbon tax</t>
  </si>
  <si>
    <t xml:space="preserve">  from Aviation</t>
  </si>
  <si>
    <r>
      <t xml:space="preserve">Assumed to be half again as great as that for gasoline, which is referenced in corresponding row in </t>
    </r>
    <r>
      <rPr>
        <b/>
        <sz val="8"/>
        <rFont val="Arial"/>
        <family val="2"/>
      </rPr>
      <t>Gasoline</t>
    </r>
    <r>
      <rPr>
        <sz val="8"/>
        <rFont val="Arial"/>
        <family val="2"/>
      </rPr>
      <t xml:space="preserve"> worksheet. This reflects fuel's higher proportion of air travel costs as well as more discretionary nature of most air travel vs. most auto travel.</t>
    </r>
  </si>
  <si>
    <t>Model is configured through 2032. Beyond that point (and likely before) the tax rate would almost certainly be adjusted.</t>
  </si>
  <si>
    <t>CO2 emissions, lb / kWh generated w/ Fossil Fuels, 2006 avg:</t>
  </si>
  <si>
    <r>
      <t xml:space="preserve">  from "Other" (</t>
    </r>
    <r>
      <rPr>
        <sz val="8"/>
        <rFont val="Arial"/>
        <family val="2"/>
      </rPr>
      <t>calc. uses gasoline energy and carbon factors)</t>
    </r>
  </si>
  <si>
    <t>Tax in year shown, per ton of CO2 emitted</t>
  </si>
  <si>
    <t>Reduxn in per-gallon CO2 emission rate per $10/ton CO2 tax</t>
  </si>
  <si>
    <t>Graph_Oil</t>
  </si>
  <si>
    <t>Graph_CO2</t>
  </si>
  <si>
    <t>CO2 emissions</t>
  </si>
  <si>
    <t>Without a carbon tax or other carbon-pricing action</t>
  </si>
  <si>
    <t>About the organization of this spreadsheet</t>
  </si>
  <si>
    <t>2007 data are from Carbon Tax Center spreadsheet, Carbon Contents.xls, which in turn derive from http://www.eia.doe.gov/oiaf/1605/ggrpt/carbon.html.</t>
  </si>
  <si>
    <t>Actual data</t>
  </si>
  <si>
    <t>Estimated data, w/o C tax)</t>
  </si>
  <si>
    <r>
      <t xml:space="preserve">Waxman-Markey if no offsets </t>
    </r>
    <r>
      <rPr>
        <sz val="8"/>
        <rFont val="Arial"/>
        <family val="2"/>
      </rPr>
      <t>(blue cells are linearly interpolated betw 2012 and 2020 values)</t>
    </r>
  </si>
  <si>
    <t>2008 Motor Gasoline datum assumes following growth in 2008 vs. 2007:</t>
  </si>
  <si>
    <t>drawn from Komanoff spreadsheet tracking U.S. gasoline usage.</t>
  </si>
  <si>
    <t>2008 Aviation datum assumes following growth in 2008 vs. 2007:</t>
  </si>
  <si>
    <t>Komanoff est.</t>
  </si>
  <si>
    <t>All emissions are for USA, in millions of metric tons of carbon dioxide per year, from fossil-fuel combustion.</t>
  </si>
  <si>
    <t>Yes Tax ---------------------------------------------------&gt;</t>
  </si>
  <si>
    <t>All figures are in million metric tons of carbon dioxide (CO2).</t>
  </si>
  <si>
    <t>ton/CO2 tax</t>
  </si>
  <si>
    <t>Inputs</t>
  </si>
  <si>
    <t>2008 emissions as a % of 2007 (preliminary)</t>
  </si>
  <si>
    <t>Revenue Treatment</t>
  </si>
  <si>
    <t>Calendar Year</t>
  </si>
  <si>
    <t>Estimated and sourced at right, directly below.</t>
  </si>
  <si>
    <r>
      <t>from Electricity Consumption</t>
    </r>
    <r>
      <rPr>
        <b/>
        <sz val="8"/>
        <rFont val="Arial"/>
        <family val="2"/>
      </rPr>
      <t xml:space="preserve"> </t>
    </r>
    <r>
      <rPr>
        <sz val="8"/>
        <rFont val="Arial"/>
        <family val="2"/>
      </rPr>
      <t>(Table 11)</t>
    </r>
  </si>
  <si>
    <t>from Motor Gasoline</t>
  </si>
  <si>
    <t>from Aviation</t>
  </si>
  <si>
    <r>
      <t>from Other</t>
    </r>
    <r>
      <rPr>
        <sz val="9"/>
        <rFont val="Arial"/>
        <family val="2"/>
      </rPr>
      <t xml:space="preserve"> </t>
    </r>
    <r>
      <rPr>
        <sz val="8"/>
        <rFont val="Arial"/>
        <family val="2"/>
      </rPr>
      <t xml:space="preserve">(incl. all non-fuel CO2; is from </t>
    </r>
    <r>
      <rPr>
        <b/>
        <sz val="8"/>
        <rFont val="Arial"/>
        <family val="2"/>
      </rPr>
      <t>GHG's</t>
    </r>
    <r>
      <rPr>
        <sz val="8"/>
        <rFont val="Arial"/>
        <family val="2"/>
      </rPr>
      <t xml:space="preserve"> wksht)</t>
    </r>
  </si>
  <si>
    <t>Emissions (above) divided by Generation (above), with metric tons converted to pounds and TWh's converted to kWh's.</t>
  </si>
  <si>
    <r>
      <t xml:space="preserve">Net Electricity Generation, TWh </t>
    </r>
    <r>
      <rPr>
        <sz val="9"/>
        <rFont val="Arial"/>
        <family val="2"/>
      </rPr>
      <t>(AER, Table 8.1)</t>
    </r>
  </si>
  <si>
    <t>Tax Revenues</t>
  </si>
  <si>
    <r>
      <t xml:space="preserve">from </t>
    </r>
    <r>
      <rPr>
        <b/>
        <sz val="8"/>
        <rFont val="Arial"/>
        <family val="2"/>
      </rPr>
      <t xml:space="preserve">Summary </t>
    </r>
    <r>
      <rPr>
        <sz val="8"/>
        <rFont val="Arial"/>
        <family val="2"/>
      </rPr>
      <t>worksheet</t>
    </r>
  </si>
  <si>
    <t>As provided in the Larson bill, America's Energy Security Trust Fund Act of 2009, version of 4 March 2009.</t>
  </si>
  <si>
    <t>minimum of $10 billion or one-sixth of revenues (p. 15)</t>
  </si>
  <si>
    <t>Affected Industry Transition Fund</t>
  </si>
  <si>
    <t>Amount by which Transition Fund in each year is less than prior year's Level (expressed as fraction of original amount)</t>
  </si>
  <si>
    <t>First Year Percent of Revenues</t>
  </si>
  <si>
    <t>See p. 16.</t>
  </si>
  <si>
    <t>Remaining Revenue (of which 100% is dedicated to reducing payroll taxes)</t>
  </si>
  <si>
    <t>Payroll Tax Reduction Amount as % of Revenues</t>
  </si>
  <si>
    <t>In Each Year</t>
  </si>
  <si>
    <t>Cumulative from Inception through Year Shown</t>
  </si>
  <si>
    <t>Cumulative Revenues</t>
  </si>
  <si>
    <t>Cumulative Payroll Tax Shift Revenues</t>
  </si>
  <si>
    <t>Clean-Energy R&amp;D and Investment</t>
  </si>
  <si>
    <t>Clean-Energy R&amp;D and Investment as % of Revenues</t>
  </si>
  <si>
    <t>Affected Industry Transition Fund as % of Revenues</t>
  </si>
  <si>
    <t>Cumulative</t>
  </si>
  <si>
    <t>Affected Industry Transition Fund, Annual</t>
  </si>
  <si>
    <t>Coal</t>
  </si>
  <si>
    <t>Petroleum</t>
  </si>
  <si>
    <t>Gas</t>
  </si>
  <si>
    <t>Liquids</t>
  </si>
  <si>
    <t>Natural</t>
  </si>
  <si>
    <t>2005 emissions by fuel are drawn directly from http://www.eia.doe.gov/oiaf/1605/ggrpt/carbon.html.</t>
  </si>
  <si>
    <t xml:space="preserve">2020, calc'd as 17% reduxn from 2005 </t>
  </si>
  <si>
    <t>2005 emissions are drawn directly from http://www.eia.doe.gov/oiaf/1605/ggrpt/carbon.html.</t>
  </si>
  <si>
    <t>2007 and 2008 data are prorated from 2005 emissions, using ratio of 2007 and 2008 bbl/day to 2005 bbl/day, adjusting for Leap Year.</t>
  </si>
  <si>
    <t>Thousand Megawatthours Generated</t>
  </si>
  <si>
    <t>2009 emissions as a % of 2005 (preliminary)</t>
  </si>
  <si>
    <t>Annual increase, 2009 to 2020</t>
  </si>
  <si>
    <t>GHG's (Greenhouse Gases)</t>
  </si>
  <si>
    <t>Fossil Fuel Combustion</t>
  </si>
  <si>
    <t>Electricity Generation</t>
  </si>
  <si>
    <t>Transportation</t>
  </si>
  <si>
    <t>Industrial</t>
  </si>
  <si>
    <t>Residential</t>
  </si>
  <si>
    <t>Commercial</t>
  </si>
  <si>
    <t>U.S. Territories</t>
  </si>
  <si>
    <t>CO2 from other sources</t>
  </si>
  <si>
    <t>CH4</t>
  </si>
  <si>
    <t>N20</t>
  </si>
  <si>
    <t>HFCs</t>
  </si>
  <si>
    <t>PFCs</t>
  </si>
  <si>
    <t>SF6</t>
  </si>
  <si>
    <t>CO2 Shares from sectors</t>
  </si>
  <si>
    <t xml:space="preserve">U.S. Population (millions) </t>
  </si>
  <si>
    <t>(Table 1, Projections of the Population and Components of Change for the United States: 2010 to 2050 &lt;http://www.census.gov/population/www/projections/summarytables.html&gt;, downloaded 8-April-2010)</t>
  </si>
  <si>
    <t>This worksheet compiles U.S. emissions of all greenhouse gases, as estimated by U.S. EPA in:</t>
  </si>
  <si>
    <t>http://www.epa.gov/climatechange/emissions/usgginv_archive.html</t>
  </si>
  <si>
    <t>&lt;--------------------------- No Tax</t>
  </si>
  <si>
    <t>CO2 Subtotal</t>
  </si>
  <si>
    <t>Non-CO2 Subtotal</t>
  </si>
  <si>
    <t># 15 is calc'd as sum of 10-14:</t>
  </si>
  <si>
    <t># 2, taken from source, is also sum of 3-8:</t>
  </si>
  <si>
    <r>
      <t>Inventory of U.S. Greenhouse Gas Emissions and Sinks: 1990–2006</t>
    </r>
    <r>
      <rPr>
        <sz val="9"/>
        <rFont val="Arial"/>
        <family val="2"/>
      </rPr>
      <t xml:space="preserve"> (executive summary), available via the portal,</t>
    </r>
  </si>
  <si>
    <t># 16 is sum of 1 + 10-14:</t>
  </si>
  <si>
    <t>Re # 9: Amount shown is 1 less 2. Also matches manually calc'd sum of all 20 remaining rows in cited table, from non-energy use of fuels, iron and steel production and cement production, to lead production and SiC production and consumption.</t>
  </si>
  <si>
    <t>Total of 3-7 (i.e., #2 but w/o U.S. Territories)</t>
  </si>
  <si>
    <t>Greenhouse Gas Emissions (GHGs)</t>
  </si>
  <si>
    <t>% of GHG</t>
  </si>
  <si>
    <t>% of CO2</t>
  </si>
  <si>
    <t>% of FF's</t>
  </si>
  <si>
    <t>FF %'s w/o Territories</t>
  </si>
  <si>
    <t>2005 FF's, w/ Territ's allocated</t>
  </si>
  <si>
    <t>SEC. 703. REDUCTION TARGETS FOR SPECIFIED SOURCES, pp. 682-683:</t>
  </si>
  <si>
    <t>H.R. 2454, downloaded 3-July-2009 via http://frwebgate.access.gpo.gov/cgi-bin/getdoc.cgi?dbname=111_cong_bills&amp;docid=f:h2454eh.txt.pdf</t>
  </si>
  <si>
    <r>
      <t xml:space="preserve">The regulations issued under section 721 shall cap and reduce annually the greenhouse gas emissions of capped sources each calendar year beginning in 2012 such that ... </t>
    </r>
    <r>
      <rPr>
        <b/>
        <sz val="8"/>
        <rFont val="Arial"/>
        <family val="2"/>
      </rPr>
      <t>in 2020</t>
    </r>
    <r>
      <rPr>
        <sz val="8"/>
        <rFont val="Arial"/>
        <family val="2"/>
      </rPr>
      <t xml:space="preserve">, the quantity of greenhouse gas emissions from capped sources </t>
    </r>
    <r>
      <rPr>
        <b/>
        <sz val="8"/>
        <color indexed="10"/>
        <rFont val="Arial"/>
        <family val="2"/>
      </rPr>
      <t>does not exceed 83 percent</t>
    </r>
    <r>
      <rPr>
        <sz val="8"/>
        <rFont val="Arial"/>
        <family val="2"/>
      </rPr>
      <t xml:space="preserve"> of the quantity of greenhouse gas emissions  from such sources </t>
    </r>
    <r>
      <rPr>
        <b/>
        <sz val="8"/>
        <rFont val="Arial"/>
        <family val="2"/>
      </rPr>
      <t>in 2005</t>
    </r>
    <r>
      <rPr>
        <sz val="8"/>
        <rFont val="Arial"/>
        <family val="2"/>
      </rPr>
      <t>.</t>
    </r>
  </si>
  <si>
    <t>If 17% reduxn is shared equally</t>
  </si>
  <si>
    <t>Reduction</t>
  </si>
  <si>
    <t>Amount</t>
  </si>
  <si>
    <t>Figures in column apply either to 2007 or throughout.</t>
  </si>
  <si>
    <t>This and later years pivot off first tax year.</t>
  </si>
  <si>
    <t>U.S. net electric gen. w/o carbon tax, thousand GWh</t>
  </si>
  <si>
    <t>CTC estimate, intended to reflect increased penetration of biofuels, hydrogen, etc. as conventional fuels grow more costly.</t>
  </si>
  <si>
    <t>(base price is CTC estimate)</t>
  </si>
  <si>
    <t>From final EIA/MER data, published Mar-10.</t>
  </si>
  <si>
    <t>09 vs. 08</t>
  </si>
  <si>
    <r>
      <t xml:space="preserve">Carbon Tax Level </t>
    </r>
    <r>
      <rPr>
        <sz val="9"/>
        <rFont val="Arial"/>
        <family val="2"/>
      </rPr>
      <t>(per short ton, not per metric ton)</t>
    </r>
  </si>
  <si>
    <t>See discussion in http://www.carbontax.org/issues/energy-demand-how-sensitive-to-price/ for background; However, because we have not analyzed "Other" fuels, figure here is an estimate.</t>
  </si>
  <si>
    <t>U.S. net generation with carbon tax, gigawatt-hours</t>
  </si>
  <si>
    <t>Note: This section not included in Print Area.</t>
  </si>
  <si>
    <t>U.S. Motor gasoline 000 bbls/day</t>
  </si>
  <si>
    <t>U.S. Motor gasoline 000 bbls (entire year)</t>
  </si>
  <si>
    <t>U.S. Motor gasoline, million gallons</t>
  </si>
  <si>
    <t>U.S. Jet Fuel supplied 000 bbls/day</t>
  </si>
  <si>
    <t>U.S. Jet Fuel 000 bbls (entire year)</t>
  </si>
  <si>
    <t>U.S. Jet Fuel gasoline, million gallons</t>
  </si>
  <si>
    <t>CTC estimate, intended to reflect increased penetration of biofuels, hydrogen, etc. as gasoline grows more costly. Ideally, would be modeled with time lag. Note that reduction is assumed to persist despite eventual leveling of carbon tax.</t>
  </si>
  <si>
    <t>All figures are for 2005, in Tg (millions of metric tons) of CO2 equivalent</t>
  </si>
  <si>
    <t>Unrounded</t>
  </si>
  <si>
    <t>Rounded</t>
  </si>
  <si>
    <t>See also:</t>
  </si>
  <si>
    <t>http://www.washingtonpost.com/wp-dyn/content/article/2009/05/20/AR2009052003655.html?hpid=sec-business</t>
  </si>
  <si>
    <t>U.S. Carbon Emissions Fall by Most Since '82</t>
  </si>
  <si>
    <t>U.S. emissions of carbon dioxide related to energy use fell 2.8 percent last year, according to an estimate by the Energy Information Administration, driven down by high oil prices and the sagging economy. The drop in carbon dioxide emissions was the steepest since 1982</t>
  </si>
  <si>
    <t>U.S. Terr, allocated</t>
  </si>
  <si>
    <r>
      <t xml:space="preserve">Total </t>
    </r>
    <r>
      <rPr>
        <sz val="9"/>
        <rFont val="Arial"/>
        <family val="2"/>
      </rPr>
      <t>(old)</t>
    </r>
  </si>
  <si>
    <r>
      <t>"Since non-CO</t>
    </r>
    <r>
      <rPr>
        <vertAlign val="subscript"/>
        <sz val="8"/>
        <rFont val="Arial"/>
        <family val="2"/>
      </rPr>
      <t>2</t>
    </r>
    <r>
      <rPr>
        <sz val="8"/>
        <rFont val="Arial"/>
        <family val="2"/>
      </rPr>
      <t xml:space="preserve"> greenhouse gases can be relatively inexpensive to reduce compared to carbon dioxide (CO</t>
    </r>
    <r>
      <rPr>
        <vertAlign val="subscript"/>
        <sz val="8"/>
        <rFont val="Arial"/>
        <family val="2"/>
      </rPr>
      <t>2</t>
    </r>
    <r>
      <rPr>
        <sz val="8"/>
        <rFont val="Arial"/>
        <family val="2"/>
      </rPr>
      <t>), EPA has focused on incorporating international non-CO</t>
    </r>
    <r>
      <rPr>
        <vertAlign val="subscript"/>
        <sz val="8"/>
        <rFont val="Arial"/>
        <family val="2"/>
      </rPr>
      <t>2</t>
    </r>
    <r>
      <rPr>
        <sz val="8"/>
        <rFont val="Arial"/>
        <family val="2"/>
      </rPr>
      <t xml:space="preserve"> greenhouse gas mitigation into analysis and policy discussions. EPA prepared a global cost analysis of all non-CO</t>
    </r>
    <r>
      <rPr>
        <vertAlign val="subscript"/>
        <sz val="8"/>
        <rFont val="Arial"/>
        <family val="2"/>
      </rPr>
      <t>2</t>
    </r>
    <r>
      <rPr>
        <sz val="8"/>
        <rFont val="Arial"/>
        <family val="2"/>
      </rPr>
      <t xml:space="preserve"> greenhouse gases." (citation immed'ly below) While this statement is based on global emissions, it may also apply to U.S. emissions.</t>
    </r>
  </si>
  <si>
    <t>and</t>
  </si>
  <si>
    <t>http://yosemite.epa.gov/opa/admpress.nsf/0/6296b2bbbd92be43852576e10058bd53?OpenDocument</t>
  </si>
  <si>
    <t>The draft report shows that in 2008, overall greenhouse gas (GHGs) emissions have decreased by 2.9 percent. This downward trend was attributed to a decrease in carbon dioxide emissions associated with fuel and electricity consumption. Total emissions from GHGs were about 6,946 million metric tons of carbon dioxide (CO2) equivalent. Overall, emissions have grown by 13.6 percent from 1990 to 2008.</t>
  </si>
  <si>
    <r>
      <t>Global Mitigation of Non-CO</t>
    </r>
    <r>
      <rPr>
        <vertAlign val="subscript"/>
        <sz val="9"/>
        <rFont val="Arial"/>
        <family val="2"/>
      </rPr>
      <t>2</t>
    </r>
    <r>
      <rPr>
        <sz val="9"/>
        <rFont val="Arial"/>
        <family val="2"/>
      </rPr>
      <t xml:space="preserve"> Greenhouse Gases (EPA Report 430-R-06-005), </t>
    </r>
    <r>
      <rPr>
        <sz val="8"/>
        <rFont val="Arial"/>
        <family val="2"/>
      </rPr>
      <t>http://www.epa.gov/climatechange/economics/international.html</t>
    </r>
  </si>
  <si>
    <t xml:space="preserve">If non-CO2 sectors reduce by 2 x 17% </t>
  </si>
  <si>
    <t>2020, as shown on p. 421 of May 17, 2009 W-M bill draft</t>
  </si>
  <si>
    <t>Calc'd 2020 emissions as a % of 2009 (preliminary)</t>
  </si>
  <si>
    <t>W-M 2020 emissions as a % of 2009 (preliminary)</t>
  </si>
  <si>
    <r>
      <t xml:space="preserve">CTC assumption, derived from literature review (principally Bohi, </t>
    </r>
    <r>
      <rPr>
        <i/>
        <sz val="8"/>
        <rFont val="Arial"/>
        <family val="2"/>
      </rPr>
      <t>Analyzing Demand Behavior</t>
    </r>
    <r>
      <rPr>
        <sz val="8"/>
        <rFont val="Arial"/>
        <family val="2"/>
      </rPr>
      <t>). Value shown is rough avg for residential, commercial and industrial sectors. See CTC Web page, http://www.carbontax.org/issues/energy-demand-how-sensitive-to-price/.</t>
    </r>
  </si>
  <si>
    <t>CTC assumption.</t>
  </si>
  <si>
    <t>2007, 2008 and 2009 data are prorated from 2005 emissions, using ratio of GWh's to 2005 GWh's shown at right. MSW and Geoth assumed constant.</t>
  </si>
  <si>
    <t>2009 TWh, 11 mo, vs. 2008 11 mo</t>
  </si>
  <si>
    <t>2009 TWh, 11 mo, vs. 2007 11 mo</t>
  </si>
  <si>
    <r>
      <t xml:space="preserve">(from </t>
    </r>
    <r>
      <rPr>
        <b/>
        <sz val="8"/>
        <rFont val="Arial"/>
        <family val="2"/>
      </rPr>
      <t>Emissions</t>
    </r>
    <r>
      <rPr>
        <sz val="8"/>
        <rFont val="Arial"/>
        <family val="2"/>
      </rPr>
      <t xml:space="preserve"> worksheet)</t>
    </r>
  </si>
  <si>
    <t>This section examines "sources" of CO2 reductions, to determine relative amounts associated with  demand side vs. supply side.</t>
  </si>
  <si>
    <t xml:space="preserve">AESTFA (Larson carbon tax) </t>
  </si>
  <si>
    <t>"Other"</t>
  </si>
  <si>
    <t>Summary</t>
  </si>
  <si>
    <t>Tax in year shown, per metric ton of carbon dioxide emitted</t>
  </si>
  <si>
    <t>CO2 emissions, w/o carbon tax, millions of metric tons</t>
  </si>
  <si>
    <t>Total</t>
  </si>
  <si>
    <t>Electricity</t>
  </si>
  <si>
    <t>Gasoline</t>
  </si>
  <si>
    <t>Assumed price-elasticity of electricity (long-run)</t>
  </si>
  <si>
    <t>Pounds per metric ton</t>
  </si>
  <si>
    <t>First year in which carbon tax is effective</t>
  </si>
  <si>
    <t>Ratio, Generation to Sales</t>
  </si>
  <si>
    <t>% increase in average retail price of electricity over prior year</t>
  </si>
  <si>
    <t>CO2 emissions, millions of metric tons, w/o carbon tax</t>
  </si>
  <si>
    <t>CO2 emissions, millions of metric tons, with carbon tax</t>
  </si>
  <si>
    <t>Pounds of CO2 per pound of carbon</t>
  </si>
  <si>
    <t>Elec demand factor due to this yr's price increase</t>
  </si>
  <si>
    <t>No. of years over which long-run elasticity is manifested</t>
  </si>
  <si>
    <t>http://www.epa.gov/ttn/chief/eiip/techreport/volume08/viii01.pdf</t>
  </si>
  <si>
    <t>Million Btu per barrel, gasoline</t>
  </si>
  <si>
    <t>Btu per gallon, gasoline</t>
  </si>
  <si>
    <t>lbs Carbon per gallon, gasoline</t>
  </si>
  <si>
    <t>lbs CO2 per gallon, gasoline</t>
  </si>
  <si>
    <t>Assumed price-elasticity (long-term)</t>
  </si>
  <si>
    <t>See discussion in http://www.carbontax.org/issues/energy-demand-how-sensitive-to-price/</t>
  </si>
  <si>
    <t>% increase in average retail price of gasoline over prior year</t>
  </si>
  <si>
    <t>Gasoline usage, million gallons, w/o carbon tax</t>
  </si>
  <si>
    <t>CO2 emissions, lb / gallon</t>
  </si>
  <si>
    <t>Gasoline demand factor due to this yr's price increase</t>
  </si>
  <si>
    <t>"Other" fuel usage, trillion Btu's, w/o carbon tax</t>
  </si>
  <si>
    <t>Tax per gallon of gasoline</t>
  </si>
  <si>
    <t>Tax per million btu of fuel</t>
  </si>
  <si>
    <t>% increase in average retail price of "Other" fuels over prior year</t>
  </si>
  <si>
    <t>CO2 emissions, lb / million Btu, w/ carbon tax</t>
  </si>
  <si>
    <t>CO2 emissions, millions of metric tons, without carbon tax</t>
  </si>
  <si>
    <t>Analysis</t>
  </si>
  <si>
    <t>Electricity sales w/o carbon tax</t>
  </si>
  <si>
    <t>Electricity sales w carbon tax</t>
  </si>
  <si>
    <t>Year chosen for snapshot:</t>
  </si>
  <si>
    <t>Emission rate (CO2 per kWh) w/o carbon tax</t>
  </si>
  <si>
    <t>Total CO2 emissions w/o carbon tax</t>
  </si>
  <si>
    <t>Emission rate (CO2 per kWh) w/ carbon tax</t>
  </si>
  <si>
    <t>Total CO2 emissions w/ carbon tax</t>
  </si>
  <si>
    <t xml:space="preserve">Ratio of "demand" shrinkage factor to </t>
  </si>
  <si>
    <t>"emissions rate" shrinkage factor:</t>
  </si>
  <si>
    <t xml:space="preserve"> Share of total reduction attributable to demand</t>
  </si>
  <si>
    <t xml:space="preserve"> Share of total reduxn attributable to emission rate</t>
  </si>
  <si>
    <t>Gasoline sales w/o carbon tax</t>
  </si>
  <si>
    <t>Gasoline sales w carbon tax</t>
  </si>
  <si>
    <t>Other fuel sales w/o carbon tax</t>
  </si>
  <si>
    <t>Other fuel sales w carbon tax</t>
  </si>
  <si>
    <t xml:space="preserve">Assumed price-elasticity of demand for gasoline (long-run) </t>
  </si>
  <si>
    <t>Effective price-elasticity in this column's year, for tax enacted in:</t>
  </si>
  <si>
    <r>
      <t xml:space="preserve">Figure is 2009 share of U.S. </t>
    </r>
    <r>
      <rPr>
        <i/>
        <sz val="8"/>
        <rFont val="Arial"/>
        <family val="2"/>
      </rPr>
      <t xml:space="preserve">fossil-fuel </t>
    </r>
    <r>
      <rPr>
        <sz val="8"/>
        <rFont val="Arial"/>
        <family val="2"/>
      </rPr>
      <t xml:space="preserve">electricity </t>
    </r>
    <r>
      <rPr>
        <sz val="8"/>
        <rFont val="Arial"/>
        <family val="2"/>
      </rPr>
      <t>generation from petroleum, calculated from EIA, Monthly Energy Review, Table 7.2a. Electricity Net Generation: Total (All Sectors).</t>
    </r>
  </si>
  <si>
    <t>http://epa.gov/climatechange/emissions/usinventoryreport.html</t>
  </si>
  <si>
    <t>Downloads of Sept 1, 2011</t>
  </si>
  <si>
    <t>In 2009, total U.S. greenhouse gas emissions were 6,633.2 Tg or million metric tons CO2 Eq. While total U.S.</t>
  </si>
  <si>
    <t>emissions have increased by 7.3 percent from 1990 to 2009, emissions decreased from 2008 to 2009 by 6.1 percent</t>
  </si>
  <si>
    <t>(427.9 Tg CO2 Eq.). This decrease was primarily due to (1) a decrease in economic output resulting in a decrease in</t>
  </si>
  <si>
    <t>U.S. emissions have increased at an average annual rate of 0.4 percent.</t>
  </si>
  <si>
    <t>Recent Trends in U.S. Greenhouse Gas Emissions and Sinks (p. ES-3):</t>
  </si>
  <si>
    <r>
      <t xml:space="preserve">[Note that these figures are in metric tons of CO2 </t>
    </r>
    <r>
      <rPr>
        <u/>
        <sz val="9"/>
        <rFont val="Arial"/>
        <family val="2"/>
      </rPr>
      <t>equivalent</t>
    </r>
    <r>
      <rPr>
        <sz val="9"/>
        <rFont val="Arial"/>
        <family val="2"/>
      </rPr>
      <t xml:space="preserve"> (as stated in first line, above.)</t>
    </r>
  </si>
  <si>
    <t>Data from EIA</t>
  </si>
  <si>
    <t>Data from EPA</t>
  </si>
  <si>
    <r>
      <t xml:space="preserve">from Electricity Generation </t>
    </r>
    <r>
      <rPr>
        <sz val="9"/>
        <rFont val="Arial"/>
        <family val="2"/>
      </rPr>
      <t>(Table ES-2)</t>
    </r>
  </si>
  <si>
    <t>Natural Gas</t>
  </si>
  <si>
    <t>MSW</t>
  </si>
  <si>
    <t>Geothermal</t>
  </si>
  <si>
    <r>
      <t xml:space="preserve">Coal </t>
    </r>
    <r>
      <rPr>
        <sz val="8"/>
        <rFont val="Arial"/>
        <family val="2"/>
      </rPr>
      <t>(from Table 2-13)</t>
    </r>
  </si>
  <si>
    <r>
      <t xml:space="preserve">Natural Gas </t>
    </r>
    <r>
      <rPr>
        <sz val="8"/>
        <rFont val="Arial"/>
        <family val="2"/>
      </rPr>
      <t>(from Table 2-13)</t>
    </r>
  </si>
  <si>
    <r>
      <t xml:space="preserve">Petroleum </t>
    </r>
    <r>
      <rPr>
        <sz val="8"/>
        <rFont val="Arial"/>
        <family val="2"/>
      </rPr>
      <t>(from Table 2-13)</t>
    </r>
  </si>
  <si>
    <r>
      <t>MSW</t>
    </r>
    <r>
      <rPr>
        <sz val="8"/>
        <rFont val="Arial"/>
        <family val="2"/>
      </rPr>
      <t xml:space="preserve"> (from Table 2-13)</t>
    </r>
  </si>
  <si>
    <r>
      <t>Geothermal</t>
    </r>
    <r>
      <rPr>
        <sz val="8"/>
        <rFont val="Arial"/>
        <family val="2"/>
      </rPr>
      <t xml:space="preserve"> (from Table 2-13)</t>
    </r>
  </si>
  <si>
    <r>
      <t xml:space="preserve">from Transportation </t>
    </r>
    <r>
      <rPr>
        <sz val="9"/>
        <rFont val="Arial"/>
        <family val="2"/>
      </rPr>
      <t>(Table 2-15)</t>
    </r>
  </si>
  <si>
    <t>Passenger Cars</t>
  </si>
  <si>
    <t>Light-Duty Trucks</t>
  </si>
  <si>
    <t>Medium- and Heavy-Duty Trucks</t>
  </si>
  <si>
    <t>Buses</t>
  </si>
  <si>
    <t>Motorcycles</t>
  </si>
  <si>
    <t>Commercial Aircraft</t>
  </si>
  <si>
    <t>Other Aircraft</t>
  </si>
  <si>
    <t>Ships and Boats</t>
  </si>
  <si>
    <t>Rail</t>
  </si>
  <si>
    <t>Pipelines</t>
  </si>
  <si>
    <t>Lubricants</t>
  </si>
  <si>
    <r>
      <t xml:space="preserve">from which we infer </t>
    </r>
    <r>
      <rPr>
        <b/>
        <sz val="9"/>
        <rFont val="Arial"/>
        <family val="2"/>
      </rPr>
      <t>Gasoline</t>
    </r>
  </si>
  <si>
    <r>
      <t xml:space="preserve">from which we infer </t>
    </r>
    <r>
      <rPr>
        <b/>
        <sz val="9"/>
        <rFont val="Arial"/>
        <family val="2"/>
      </rPr>
      <t>Aviation</t>
    </r>
  </si>
  <si>
    <t>Recreational Boats</t>
  </si>
  <si>
    <t>Distillate Fuel Oil (Diesel)</t>
  </si>
  <si>
    <t>International Bunker Fuels</t>
  </si>
  <si>
    <t>Jet Fuel</t>
  </si>
  <si>
    <t>Military Aircraft</t>
  </si>
  <si>
    <t>General Aviation Aircraft</t>
  </si>
  <si>
    <t>Aviation Gasoline</t>
  </si>
  <si>
    <t>Residual Fuel Oil</t>
  </si>
  <si>
    <t>Ships and Other Boats</t>
  </si>
  <si>
    <r>
      <t xml:space="preserve">Int'l Bunker Fuels </t>
    </r>
    <r>
      <rPr>
        <sz val="8"/>
        <rFont val="Arial"/>
        <family val="2"/>
      </rPr>
      <t>(departing flights' aviation fuel; p. 3-56)</t>
    </r>
  </si>
  <si>
    <r>
      <t xml:space="preserve">A fuel-based approach to Transportation </t>
    </r>
    <r>
      <rPr>
        <sz val="9"/>
        <rFont val="Arial"/>
        <family val="2"/>
      </rPr>
      <t>(Table 3-12; pp. 3-13 - 3-14)</t>
    </r>
  </si>
  <si>
    <t>Do not use, since excludes MSW</t>
  </si>
  <si>
    <t>Use, since includes MSW</t>
  </si>
  <si>
    <r>
      <t>Total w/o Geothermal</t>
    </r>
    <r>
      <rPr>
        <sz val="8"/>
        <rFont val="Arial"/>
        <family val="2"/>
      </rPr>
      <t xml:space="preserve"> (Geoth. is CO2 equiv, not CO2)</t>
    </r>
  </si>
  <si>
    <t>(Example: if initial rate in box above is $10, then second-year tax rate would be $20, third-year rate $30, etc.)</t>
  </si>
  <si>
    <t>Same as for 2009, except baseline emissions for these two years are estimated.</t>
  </si>
  <si>
    <t>from Personal Ground Travel</t>
  </si>
  <si>
    <t xml:space="preserve">  from Personal Ground Travel</t>
  </si>
  <si>
    <t>Personal Ground Travel</t>
  </si>
  <si>
    <t>from (non-military) Aviation</t>
  </si>
  <si>
    <t>Units of Fuel Consumed</t>
  </si>
  <si>
    <t>Electricity data above are from EIA, Monthly Energy Review, Feb. 2010, Table 7.2a. Electricity Net Generation: Total (All Sectors) Net Generation by Energy Source: downloaded 07-Apr-2010. Supplemented on 01-Sept-2011.</t>
  </si>
  <si>
    <t>Fuel consumption data above are from EIA, Monthly Energy Review, Aug. 2011, Table 7.4a. Consumption of Combustible Fuels for Electricity Generation and Useful Thermal Output: Total (All Sectors). Downloaded 01-Sept-2011.</t>
  </si>
  <si>
    <t>10 vs. 09</t>
  </si>
  <si>
    <r>
      <t xml:space="preserve">All CO2 </t>
    </r>
    <r>
      <rPr>
        <sz val="8"/>
        <rFont val="Arial"/>
        <family val="2"/>
      </rPr>
      <t>(Table ES-2)</t>
    </r>
  </si>
  <si>
    <r>
      <t xml:space="preserve">CO2 Emissions from FF Combustion </t>
    </r>
    <r>
      <rPr>
        <sz val="8"/>
        <rFont val="Arial"/>
        <family val="2"/>
      </rPr>
      <t>(Table ES-2)</t>
    </r>
  </si>
  <si>
    <r>
      <t xml:space="preserve">Non-Energy Use of Fuels </t>
    </r>
    <r>
      <rPr>
        <sz val="8"/>
        <rFont val="Arial"/>
        <family val="2"/>
      </rPr>
      <t>(Table ES-2)</t>
    </r>
  </si>
  <si>
    <t>Other</t>
  </si>
  <si>
    <t>Freight</t>
  </si>
  <si>
    <t xml:space="preserve">  from Freight (Goods Movement)</t>
  </si>
  <si>
    <r>
      <t xml:space="preserve">Freight </t>
    </r>
    <r>
      <rPr>
        <b/>
        <sz val="10"/>
        <rFont val="Arial"/>
        <family val="2"/>
      </rPr>
      <t>(Goods Movement)</t>
    </r>
  </si>
  <si>
    <t>Line loss % is from eGrid, according to a citation (FN 34 in Table A-6) of Center for Climate Strategies report referenced in C Emissions worksheet.</t>
  </si>
  <si>
    <t>We assume that impact of carbon tax on electricity demand is realized over time in a linear fashion. (This is apart from phase-in of carbon tax level itself.) Each cell in triangular array below denotes effective price-elasticity in column year that will apply to tax enacted in row year. Further below, each cell in rectangular array operates on corresponding elasticity value and price increase due to tax, to yield a multiplicative factor denoting shrinkage in demand due to higher price.</t>
  </si>
  <si>
    <t>These entries are shown as a check, to ensure that ratio here is product of two prior ones.</t>
  </si>
  <si>
    <t>Key parameters that user may specify here (in this worksheet) are shown in magenta.</t>
  </si>
  <si>
    <t>We assume that impact of carbon tax on gasoline demand is realized over time in a linear fashion. (This is apart from phase-in of carbon tax level itself.) Each cell in triangular array below denotes effective price-elasticity in column year that will apply to tax enacted in row year. Further below, each cell in rectangular array operates on corresponding elasticity value and price increase due to tax, to yield a multiplicative factor denoting shrinkage in demand due to higher price.</t>
  </si>
  <si>
    <t>We assume that impact of carbon tax on jet fuel demand is realized over time in a linear fashion. (This is apart from phase-in of carbon tax level itself.) Each cell in triangular array below denotes effective price-elasticity in column year that will apply to tax enacted in row year. Further below, each cell in rectangular array operates on corresponding elasticity value and price increase due to tax, to yield a multiplicative factor denoting shrinkage in demand due to higher price.</t>
  </si>
  <si>
    <t>EPA Seeks Public Comment on 15th Annual U.S. Greenhouse Gas Inventory</t>
  </si>
  <si>
    <t>energy consumption across all sectors; and (2) a decrease in carbon intensity of fuels used to generate electricity</t>
  </si>
  <si>
    <t>due to fuel switching as price of coal increased, and price of natural gas decreased significantly. Since 1990,</t>
  </si>
  <si>
    <t>[These entries prorate 2005 emissions by ratio of MWh's in each year to 2005]</t>
  </si>
  <si>
    <t>Table ES-2: Recent Trends in U.S. Greenhouse Gas Emissions and Sinks (Tg CO2 Eq.), in report,</t>
  </si>
  <si>
    <t>Average Retail Price of Electricity (cents/kWh), with carbon tax</t>
  </si>
  <si>
    <t>Release date: 03/09/2010. Downloadable (as of 1-Sept-2011) from: &lt;http://epa.gov/climatechange/emissions/usinventoryreport.html&gt;</t>
  </si>
  <si>
    <t>Emissions divided by End-Use, with metric tons converted to pounds and TWh's converted to kWh's.</t>
  </si>
  <si>
    <t>CO2 emissions, lb / kWh (end use)</t>
  </si>
  <si>
    <t>CO2 emissions, lb / kWh (generated)</t>
  </si>
  <si>
    <t>CO2 emissions, lb / kWh generated, w/o carbon tax</t>
  </si>
  <si>
    <t>Parameters</t>
  </si>
  <si>
    <t>Key Variables</t>
  </si>
  <si>
    <t>Constants / Conversion Factors</t>
  </si>
  <si>
    <t>Economic Growth Rate (GDP)</t>
  </si>
  <si>
    <t>000 short tons</t>
  </si>
  <si>
    <t>000 barrels</t>
  </si>
  <si>
    <t>billion cf</t>
  </si>
  <si>
    <t>Carbon charge per kWh delivered</t>
  </si>
  <si>
    <r>
      <t xml:space="preserve">This page pertains only to </t>
    </r>
    <r>
      <rPr>
        <b/>
        <sz val="9"/>
        <rFont val="Arial"/>
        <family val="2"/>
      </rPr>
      <t>Electricity</t>
    </r>
    <r>
      <rPr>
        <sz val="9"/>
        <rFont val="Arial"/>
        <family val="2"/>
      </rPr>
      <t xml:space="preserve">. Succeeding pages show </t>
    </r>
    <r>
      <rPr>
        <b/>
        <sz val="9"/>
        <rFont val="Arial"/>
        <family val="2"/>
      </rPr>
      <t>Personal Ground Travel</t>
    </r>
    <r>
      <rPr>
        <sz val="9"/>
        <rFont val="Arial"/>
        <family val="2"/>
      </rPr>
      <t xml:space="preserve">, </t>
    </r>
    <r>
      <rPr>
        <b/>
        <sz val="9"/>
        <rFont val="Arial"/>
        <family val="2"/>
      </rPr>
      <t>Freight</t>
    </r>
    <r>
      <rPr>
        <sz val="9"/>
        <rFont val="Arial"/>
        <family val="2"/>
      </rPr>
      <t xml:space="preserve">, </t>
    </r>
    <r>
      <rPr>
        <b/>
        <sz val="9"/>
        <rFont val="Arial"/>
        <family val="2"/>
      </rPr>
      <t>Aviation</t>
    </r>
    <r>
      <rPr>
        <sz val="9"/>
        <rFont val="Arial"/>
        <family val="2"/>
      </rPr>
      <t xml:space="preserve">, and </t>
    </r>
    <r>
      <rPr>
        <b/>
        <sz val="9"/>
        <rFont val="Arial"/>
        <family val="2"/>
      </rPr>
      <t>Other</t>
    </r>
    <r>
      <rPr>
        <sz val="9"/>
        <rFont val="Arial"/>
        <family val="2"/>
      </rPr>
      <t xml:space="preserve"> Sectors.</t>
    </r>
  </si>
  <si>
    <r>
      <t xml:space="preserve">This page pertains only to </t>
    </r>
    <r>
      <rPr>
        <b/>
        <sz val="9"/>
        <rFont val="Arial"/>
        <family val="2"/>
      </rPr>
      <t>Personal Ground Travel</t>
    </r>
    <r>
      <rPr>
        <sz val="9"/>
        <rFont val="Arial"/>
        <family val="2"/>
      </rPr>
      <t xml:space="preserve">. Other pages show </t>
    </r>
    <r>
      <rPr>
        <b/>
        <sz val="9"/>
        <rFont val="Arial"/>
        <family val="2"/>
      </rPr>
      <t>Electricity</t>
    </r>
    <r>
      <rPr>
        <sz val="9"/>
        <rFont val="Arial"/>
        <family val="2"/>
      </rPr>
      <t xml:space="preserve">, </t>
    </r>
    <r>
      <rPr>
        <b/>
        <sz val="9"/>
        <rFont val="Arial"/>
        <family val="2"/>
      </rPr>
      <t>Freight</t>
    </r>
    <r>
      <rPr>
        <sz val="9"/>
        <rFont val="Arial"/>
        <family val="2"/>
      </rPr>
      <t xml:space="preserve">, </t>
    </r>
    <r>
      <rPr>
        <b/>
        <sz val="9"/>
        <rFont val="Arial"/>
        <family val="2"/>
      </rPr>
      <t>Aviation</t>
    </r>
    <r>
      <rPr>
        <sz val="9"/>
        <rFont val="Arial"/>
        <family val="2"/>
      </rPr>
      <t xml:space="preserve">, and </t>
    </r>
    <r>
      <rPr>
        <b/>
        <sz val="9"/>
        <rFont val="Arial"/>
        <family val="2"/>
      </rPr>
      <t>Other</t>
    </r>
    <r>
      <rPr>
        <sz val="9"/>
        <rFont val="Arial"/>
        <family val="2"/>
      </rPr>
      <t xml:space="preserve"> Sectors.</t>
    </r>
  </si>
  <si>
    <r>
      <t xml:space="preserve">This page pertains only to </t>
    </r>
    <r>
      <rPr>
        <b/>
        <sz val="9"/>
        <rFont val="Arial"/>
        <family val="2"/>
      </rPr>
      <t>Freight</t>
    </r>
    <r>
      <rPr>
        <sz val="9"/>
        <rFont val="Arial"/>
        <family val="2"/>
      </rPr>
      <t xml:space="preserve">. Other pages show </t>
    </r>
    <r>
      <rPr>
        <b/>
        <sz val="9"/>
        <rFont val="Arial"/>
        <family val="2"/>
      </rPr>
      <t>Electricity</t>
    </r>
    <r>
      <rPr>
        <sz val="9"/>
        <rFont val="Arial"/>
        <family val="2"/>
      </rPr>
      <t xml:space="preserve">, </t>
    </r>
    <r>
      <rPr>
        <b/>
        <sz val="9"/>
        <rFont val="Arial"/>
        <family val="2"/>
      </rPr>
      <t>Personal Ground Travel</t>
    </r>
    <r>
      <rPr>
        <sz val="9"/>
        <rFont val="Arial"/>
        <family val="2"/>
      </rPr>
      <t xml:space="preserve">, </t>
    </r>
    <r>
      <rPr>
        <b/>
        <sz val="9"/>
        <rFont val="Arial"/>
        <family val="2"/>
      </rPr>
      <t>Aviation</t>
    </r>
    <r>
      <rPr>
        <sz val="9"/>
        <rFont val="Arial"/>
        <family val="2"/>
      </rPr>
      <t xml:space="preserve">, and </t>
    </r>
    <r>
      <rPr>
        <b/>
        <sz val="9"/>
        <rFont val="Arial"/>
        <family val="2"/>
      </rPr>
      <t>Other</t>
    </r>
    <r>
      <rPr>
        <sz val="9"/>
        <rFont val="Arial"/>
        <family val="2"/>
      </rPr>
      <t xml:space="preserve"> Sectors.</t>
    </r>
  </si>
  <si>
    <r>
      <t xml:space="preserve">This page pertains only to </t>
    </r>
    <r>
      <rPr>
        <b/>
        <sz val="9"/>
        <rFont val="Arial"/>
        <family val="2"/>
      </rPr>
      <t>Aviation</t>
    </r>
    <r>
      <rPr>
        <sz val="9"/>
        <rFont val="Arial"/>
        <family val="2"/>
      </rPr>
      <t xml:space="preserve">. Other pages show </t>
    </r>
    <r>
      <rPr>
        <b/>
        <sz val="9"/>
        <rFont val="Arial"/>
        <family val="2"/>
      </rPr>
      <t>Electricity</t>
    </r>
    <r>
      <rPr>
        <sz val="9"/>
        <rFont val="Arial"/>
        <family val="2"/>
      </rPr>
      <t xml:space="preserve">, </t>
    </r>
    <r>
      <rPr>
        <b/>
        <sz val="9"/>
        <rFont val="Arial"/>
        <family val="2"/>
      </rPr>
      <t>Personal Ground Travel</t>
    </r>
    <r>
      <rPr>
        <sz val="9"/>
        <rFont val="Arial"/>
        <family val="2"/>
      </rPr>
      <t xml:space="preserve">, </t>
    </r>
    <r>
      <rPr>
        <b/>
        <sz val="9"/>
        <rFont val="Arial"/>
        <family val="2"/>
      </rPr>
      <t>Freight</t>
    </r>
    <r>
      <rPr>
        <sz val="9"/>
        <rFont val="Arial"/>
        <family val="2"/>
      </rPr>
      <t xml:space="preserve">, and </t>
    </r>
    <r>
      <rPr>
        <b/>
        <sz val="9"/>
        <rFont val="Arial"/>
        <family val="2"/>
      </rPr>
      <t>Other</t>
    </r>
    <r>
      <rPr>
        <sz val="9"/>
        <rFont val="Arial"/>
        <family val="2"/>
      </rPr>
      <t xml:space="preserve"> Sectors.</t>
    </r>
  </si>
  <si>
    <r>
      <t xml:space="preserve">This page pertains to all CO2 emissions from fuel burning, other than those from </t>
    </r>
    <r>
      <rPr>
        <b/>
        <sz val="8"/>
        <rFont val="Arial"/>
        <family val="2"/>
      </rPr>
      <t>Electricity Generation</t>
    </r>
    <r>
      <rPr>
        <sz val="8"/>
        <rFont val="Arial"/>
        <family val="2"/>
      </rPr>
      <t xml:space="preserve">, </t>
    </r>
    <r>
      <rPr>
        <b/>
        <sz val="8"/>
        <rFont val="Arial"/>
        <family val="2"/>
      </rPr>
      <t>Personal Ground Travel</t>
    </r>
    <r>
      <rPr>
        <sz val="8"/>
        <rFont val="Arial"/>
        <family val="2"/>
      </rPr>
      <t xml:space="preserve">, </t>
    </r>
    <r>
      <rPr>
        <b/>
        <sz val="8"/>
        <rFont val="Arial"/>
        <family val="2"/>
      </rPr>
      <t>Freight</t>
    </r>
    <r>
      <rPr>
        <sz val="8"/>
        <rFont val="Arial"/>
        <family val="2"/>
      </rPr>
      <t xml:space="preserve"> movement, and </t>
    </r>
    <r>
      <rPr>
        <b/>
        <sz val="8"/>
        <rFont val="Arial"/>
        <family val="2"/>
      </rPr>
      <t>Aviation</t>
    </r>
    <r>
      <rPr>
        <sz val="8"/>
        <rFont val="Arial"/>
        <family val="2"/>
      </rPr>
      <t>, which are treated in preceding worksheets. Since this "sector" lumps together hundreds of disparate sectors, our treatment is less rigorous than for those sectors.</t>
    </r>
  </si>
  <si>
    <r>
      <t xml:space="preserve">GDP </t>
    </r>
    <r>
      <rPr>
        <sz val="9"/>
        <rFont val="Arial"/>
        <family val="2"/>
      </rPr>
      <t>(billions of chained 2005 dollars)</t>
    </r>
  </si>
  <si>
    <t>2000-2010 data were downloaded from http://www.bea.gov/bea/dn/gdplev.xls (accessed from http://www.bea.gov/index.htm). 2011 growth rate from 2010 compares 1Q+2Q of respective years.</t>
  </si>
  <si>
    <r>
      <t xml:space="preserve">2011 over 2010 </t>
    </r>
    <r>
      <rPr>
        <sz val="8"/>
        <rFont val="Arial"/>
        <family val="2"/>
      </rPr>
      <t>(the actual increase rate of 1H 2011 vs. 1H 2010)</t>
    </r>
  </si>
  <si>
    <t>Compound annual growth in CO2 emissions, lb/kWh generated (2010 vs. 2005)</t>
  </si>
  <si>
    <r>
      <t xml:space="preserve">KEA assumption, calculated as </t>
    </r>
    <r>
      <rPr>
        <u/>
        <sz val="8"/>
        <rFont val="Arial"/>
        <family val="2"/>
      </rPr>
      <t>one-half</t>
    </r>
    <r>
      <rPr>
        <sz val="8"/>
        <rFont val="Arial"/>
        <family val="2"/>
      </rPr>
      <t xml:space="preserve"> of the compound annual average change from 2005 to 2010 (derived in </t>
    </r>
    <r>
      <rPr>
        <b/>
        <sz val="8"/>
        <rFont val="Arial"/>
        <family val="2"/>
      </rPr>
      <t>Emissions</t>
    </r>
    <r>
      <rPr>
        <sz val="8"/>
        <rFont val="Arial"/>
        <family val="2"/>
      </rPr>
      <t xml:space="preserve"> worksheet).</t>
    </r>
  </si>
  <si>
    <t>Avg for 4 yrs shown:</t>
  </si>
  <si>
    <t>Amount by which a $10/ton carbon tax raises the price of a coal-fired kWh w/ 10,000 Btu heat rate:</t>
  </si>
  <si>
    <t>Pounds per short ton</t>
  </si>
  <si>
    <t>Amount by which a $10/ton carbon tax raises the price of a gas-fired kWh w/ 6,000 Btu heat rate:</t>
  </si>
  <si>
    <t>¢/kWh</t>
  </si>
  <si>
    <t xml:space="preserve">Rate at which baseline CO2/kWh ratio is magnified per </t>
  </si>
  <si>
    <t>ton/CO2 tax:</t>
  </si>
  <si>
    <t>CO2 emissions, lb / kWh generated, w/ carbon tax</t>
  </si>
  <si>
    <r>
      <t>Carbon emission charge per kWh generated</t>
    </r>
    <r>
      <rPr>
        <sz val="9"/>
        <rFont val="Arial"/>
        <family val="2"/>
      </rPr>
      <t xml:space="preserve">, </t>
    </r>
    <r>
      <rPr>
        <sz val="9"/>
        <rFont val="Calibri"/>
        <family val="2"/>
      </rPr>
      <t>¢</t>
    </r>
    <r>
      <rPr>
        <sz val="9"/>
        <rFont val="Arial"/>
        <family val="2"/>
      </rPr>
      <t>/kWh (w/ carbon tax)</t>
    </r>
  </si>
  <si>
    <t>U.S. electricity end-usage with carbon tax, gigawatt-hours</t>
  </si>
  <si>
    <t>This worksheet. It prints to six pages (of which one is blank).</t>
  </si>
  <si>
    <r>
      <t>Aviation</t>
    </r>
    <r>
      <rPr>
        <sz val="9"/>
        <rFont val="Arial"/>
        <family val="2"/>
      </rPr>
      <t/>
    </r>
  </si>
  <si>
    <r>
      <t>"Other"</t>
    </r>
    <r>
      <rPr>
        <sz val="9"/>
        <rFont val="Arial"/>
        <family val="2"/>
      </rPr>
      <t xml:space="preserve"> </t>
    </r>
  </si>
  <si>
    <t>Gallons per barrel</t>
  </si>
  <si>
    <t>Jet Fuel + Aviation Gas</t>
  </si>
  <si>
    <t>000 Bbl/D</t>
  </si>
  <si>
    <t>Motor Gasoline</t>
  </si>
  <si>
    <t>All Petrol Products</t>
  </si>
  <si>
    <t>All but MG, Jet, AV, Res</t>
  </si>
  <si>
    <t>Resid
Fuel</t>
  </si>
  <si>
    <r>
      <t xml:space="preserve">from </t>
    </r>
    <r>
      <rPr>
        <b/>
        <sz val="8"/>
        <rFont val="Arial"/>
        <family val="2"/>
      </rPr>
      <t>Emissions</t>
    </r>
    <r>
      <rPr>
        <sz val="8"/>
        <rFont val="Arial"/>
        <family val="2"/>
      </rPr>
      <t xml:space="preserve"> wksht</t>
    </r>
  </si>
  <si>
    <t>Days in year (we ignore leap years)</t>
  </si>
  <si>
    <t>Falls over time as generators seek to minimize tax reduce carbon-intensity of generation.</t>
  </si>
  <si>
    <t>USEPA, "Emission Facts: Average Carbon Dioxide Emissions Resulting from Gasoline and Diesel Fuel," EPA420-F-05-001 February 2005, &lt;http://www.epa.gov/oms/climate/420f05001.htm#carbon&gt;</t>
  </si>
  <si>
    <t>Grams per pound</t>
  </si>
  <si>
    <t>Btu per gallon, diesel fuel</t>
  </si>
  <si>
    <t>Million Btu per barrel, diesel fuel</t>
  </si>
  <si>
    <t>Figures in column  correspond to actual data.</t>
  </si>
  <si>
    <t>Monthly Energy Review, Table A1. Approximate Heat Content of Petroleum Products (distillate fuel oil)</t>
  </si>
  <si>
    <t>Monthly Energy Review, Table A1. Approximate Heat Content of Petroleum Products (jet fuel, kerosene type)</t>
  </si>
  <si>
    <t>Btu per gallon, jet fuel</t>
  </si>
  <si>
    <t>Historical Real Increase Rate in U.S. Average Gasoline Price, 1990-2010:</t>
  </si>
  <si>
    <r>
      <t xml:space="preserve">See Komanoff spreadsheet, "Price-Elasticity of Gasoline Demand, accessible via &lt;http://www.komanoff.net/oil_9_11/&gt;. Go to </t>
    </r>
    <r>
      <rPr>
        <b/>
        <sz val="8"/>
        <rFont val="Arial"/>
        <family val="2"/>
      </rPr>
      <t>Full-Year Comparison</t>
    </r>
    <r>
      <rPr>
        <sz val="8"/>
        <rFont val="Arial"/>
        <family val="2"/>
      </rPr>
      <t xml:space="preserve"> page.</t>
    </r>
  </si>
  <si>
    <t>Multiplier to that rate, for projecting future real increase in gasoline price after 2010:</t>
  </si>
  <si>
    <t>Komanoff assumption.</t>
  </si>
  <si>
    <t>Projected annual rate of real increase in average gasoline price beyond 2010, w/o C tax</t>
  </si>
  <si>
    <t>Distillate Fuel</t>
  </si>
  <si>
    <t>U.S. Distillate fuel oil 000 bbls/day</t>
  </si>
  <si>
    <t>U.S. Distillate fuel oil, million gallons</t>
  </si>
  <si>
    <t>Diesel demand factor due to this yr's price increase</t>
  </si>
  <si>
    <t>Diesel sales w/o carbon tax</t>
  </si>
  <si>
    <t>Diesel sales w carbon tax</t>
  </si>
  <si>
    <t>CTC estimate, intended to reflect increased penetration of biofuels, hydrogen, etc. as diesel grows more costly. Ideally, would be modeled with time lag. Note that reduction is assumed to persist despite eventual leveling of carbon tax.</t>
  </si>
  <si>
    <t>Tax per gallon of diesel</t>
  </si>
  <si>
    <t>U.S. diesel sales with carbon tax, million gallons</t>
  </si>
  <si>
    <t>% increase in average retail price of diesel over prior year</t>
  </si>
  <si>
    <t xml:space="preserve">Assumed price-elasticity of demand for diesel (long-run) </t>
  </si>
  <si>
    <t>We assume that impact of carbon tax on diesel demand is realized over time in a linear fashion. (This is apart from phase-in of carbon tax level itself.) Each cell in triangular array below denotes effective price-elasticity in column year that will apply to tax enacted in row year. Further below, each cell in rectangular array operates on corresponding elasticity value and price increase due to tax, to yield a multiplicative factor denoting shrinkage in demand due to higher price.</t>
  </si>
  <si>
    <t>lbs Carbon per gallon, diesel</t>
  </si>
  <si>
    <t>lbs CO2 per gallon, diesel</t>
  </si>
  <si>
    <t>Historical Real Increase Rate in U.S. Average Diesel Price, 1990-2010:</t>
  </si>
  <si>
    <r>
      <t xml:space="preserve">This is average real incrs rate 1990-2010. Calculated as sum of analogous rate for motor gasoline in </t>
    </r>
    <r>
      <rPr>
        <b/>
        <sz val="8"/>
        <rFont val="Arial"/>
        <family val="2"/>
      </rPr>
      <t>Personal Ground Travel</t>
    </r>
    <r>
      <rPr>
        <sz val="8"/>
        <rFont val="Arial"/>
        <family val="2"/>
      </rPr>
      <t xml:space="preserve"> sheet, plus 1.0% to reflect the more rapid rise in untaxed diesel price vis-a-vis untaxed gasoline price over same period, as gleaned from USEIA Monthly Energy Review, Table 9.7. Refiner Prices of Petroleum Products to End Users. This indirect procedure is required because MER tracks only untaxed diesel prices.</t>
    </r>
  </si>
  <si>
    <t>Projected annual rate of real increase in average diesel fuel price beyond 2010, w/o C tax</t>
  </si>
  <si>
    <r>
      <t xml:space="preserve">This is average real incrs rate 1990-2010. Calculated as sum of analogous rate for motor gasoline in </t>
    </r>
    <r>
      <rPr>
        <b/>
        <sz val="8"/>
        <rFont val="Arial"/>
        <family val="2"/>
      </rPr>
      <t>Personal Ground Travel</t>
    </r>
    <r>
      <rPr>
        <sz val="8"/>
        <rFont val="Arial"/>
        <family val="2"/>
      </rPr>
      <t xml:space="preserve"> sheet, plus 0.5% to reflect the more rapid rise in untaxed jet fuel price vis-a-vis untaxed gasoline price over same period, as gleaned from USEIA Monthly Energy Review, Table 9.7. Refiner Prices of Petroleum Products to End Users. This indirect procedure is required because MER tracks only untaxed jet fuel prices.</t>
    </r>
  </si>
  <si>
    <t>Projected annual rate of real increase in average jet fuel price beyond 2010, w/o C tax</t>
  </si>
  <si>
    <t>Historical Real Increase Rate in U.S. Average Jet Fuel Price, 1990-2010:</t>
  </si>
  <si>
    <r>
      <t>Which is equivalent to this many pounds of carbon (not CO2) per 10</t>
    </r>
    <r>
      <rPr>
        <vertAlign val="superscript"/>
        <sz val="9"/>
        <rFont val="Arial"/>
        <family val="2"/>
      </rPr>
      <t>6</t>
    </r>
    <r>
      <rPr>
        <sz val="9"/>
        <rFont val="Arial"/>
        <family val="2"/>
      </rPr>
      <t xml:space="preserve"> Btu:</t>
    </r>
  </si>
  <si>
    <t>lbs Carbon per gallon, jet fuel</t>
  </si>
  <si>
    <t>Jet Fuel: Carbon Dioxide (in kg) per gallon</t>
  </si>
  <si>
    <t>US EIA, "Voluntary Reporting of Greenhouse Gases Program, Fuel Emission Coefficients," &lt;http://205.254.135.24/oiaf/1605/coefficients.html&gt;</t>
  </si>
  <si>
    <t>Pipeline Natural Gas: Carbon Dioxide (in kg) per MMBtu (wghtd national avg)</t>
  </si>
  <si>
    <t>U.S. Energy Summary, 2009</t>
  </si>
  <si>
    <t>Total Fossil Fuel Consumption, Quads</t>
  </si>
  <si>
    <t>mer_data, T01.03</t>
  </si>
  <si>
    <t>Natural Gas Consumption, Quads</t>
  </si>
  <si>
    <t>Coal Consumption, Quads</t>
  </si>
  <si>
    <t>Petroleum Consumption, Quads</t>
  </si>
  <si>
    <t>Coal Consumed to Make Electricity, Short Tons, 000</t>
  </si>
  <si>
    <t>Fossil Fuels Consumed to Make Electricity, Quads</t>
  </si>
  <si>
    <t>Gasoline's carbon content per gallon, in grams</t>
  </si>
  <si>
    <t>Diesel fuel's carbon content per gallon, in grams:</t>
  </si>
  <si>
    <t>Jet fuel's carbon content per gallon, in grams:</t>
  </si>
  <si>
    <t>Fossil Fuels Consumed for Personal Ground Travel, Quads</t>
  </si>
  <si>
    <t>Fossil Fuels Consumed for Freight, Quads</t>
  </si>
  <si>
    <t>Fossil Fuels Consumed for Aviation, Quads</t>
  </si>
  <si>
    <t>Fossil Fuels Consumed for Other, Quads</t>
  </si>
  <si>
    <t>Natl Gas Consumed to Make Electricity, Billion CF</t>
  </si>
  <si>
    <t>Total Petroleum Cons'd to Make Electricity, Bbl, 000</t>
  </si>
  <si>
    <t>Btu/unit</t>
  </si>
  <si>
    <t>pound</t>
  </si>
  <si>
    <t>barrel</t>
  </si>
  <si>
    <t>cf</t>
  </si>
  <si>
    <t>mer_data, T07.03A</t>
  </si>
  <si>
    <t>CO2 emissions from "Other" sector, million metric tons</t>
  </si>
  <si>
    <t>Implied CO2 emissions from "Other," pounds per million Btu</t>
  </si>
  <si>
    <t>For comparison: CO2 emissions from Personal Ground Travel, pounds per million Btu</t>
  </si>
  <si>
    <t>Historical Real Increase Rate in U.S. Average Natural Gas Price, 1990-2010 (@ City Gate):</t>
  </si>
  <si>
    <t>mer_data, T09.11, City Gate price, 2010 avg vs. 1990 avg, adj'd by same year's CPI, All Urban Consumers</t>
  </si>
  <si>
    <t>Multiplier to that rate, for projecting future real increase in "Other" fuel price after 2010:</t>
  </si>
  <si>
    <t>Projected annual rate of real increase in "Other" fuel price beyond 2010, w/o C tax</t>
  </si>
  <si>
    <t>"Other" fuel usage, quadrillion Btu, w/o carbon tax</t>
  </si>
  <si>
    <r>
      <t xml:space="preserve">2010 Usage, tcf </t>
    </r>
    <r>
      <rPr>
        <sz val="8"/>
        <rFont val="Arial"/>
        <family val="2"/>
      </rPr>
      <t>(MER Table 4.3. Natural Gas Consumption by Sector)</t>
    </r>
  </si>
  <si>
    <r>
      <t xml:space="preserve">2010 Price, $/mcf </t>
    </r>
    <r>
      <rPr>
        <sz val="8"/>
        <rFont val="Arial"/>
        <family val="2"/>
      </rPr>
      <t>(mer.data T09.11)</t>
    </r>
  </si>
  <si>
    <t>Source: mer_data, T01.03</t>
  </si>
  <si>
    <t>Source for data in these four rows is 'Emissions' worksheet tab, with CO2 emissions in metric tons converted to fuel units (quads) via conversion factors in the individual-sector worksheet tabs.</t>
  </si>
  <si>
    <t>(Same as above, except that assumed biofuel penetration is even smaller for jet fuel than for gasoline or diesel.)</t>
  </si>
  <si>
    <t xml:space="preserve">Specifies key variables and conversion factors that inform (affect) some calculations. </t>
  </si>
  <si>
    <t>Created for the Carbon Tax Center by Charles Komanoff</t>
  </si>
  <si>
    <t>This version of the model was created on:</t>
  </si>
  <si>
    <r>
      <t xml:space="preserve">B. Now select one of two ways to </t>
    </r>
    <r>
      <rPr>
        <b/>
        <u/>
        <sz val="9"/>
        <rFont val="Arial"/>
        <family val="2"/>
      </rPr>
      <t>increment</t>
    </r>
    <r>
      <rPr>
        <b/>
        <sz val="9"/>
        <rFont val="Arial"/>
        <family val="2"/>
      </rPr>
      <t xml:space="preserve"> tax. Click on box directly to right, and input "1" or "2".</t>
    </r>
  </si>
  <si>
    <t>1. If you selected "1," the initial tax amount above will be incremented each year at a uniform annual rate. The default increment rate is the initial amount. You may override that default by inputting your own increment rate in the box directly to right.</t>
  </si>
  <si>
    <t xml:space="preserve">     or             or             or             or             or             or             or             or             or</t>
  </si>
  <si>
    <t>Amount by which $10/ton carbon tax raises price advantage of gas-fired combined cycle vs. coal:</t>
  </si>
  <si>
    <t>lb CO2 per kWh, @ 10,000 heat rate (from Komanoff "Carbon Contents" XLS).</t>
  </si>
  <si>
    <t>Assumed baseline annual incrs ratio in CO2 emissions, lb/kWh, if zero price on carbon</t>
  </si>
  <si>
    <t>Annual tax increment per ton of CO2 emitted; OR Annual % growth</t>
  </si>
  <si>
    <t>Initial carbon tax per ton of CO2 emitted</t>
  </si>
  <si>
    <t>This area is a "space filler" (material to fill a few rows to enable subsequent worksheets' configuration to track this one) that sheds light on an important issue: inter-fuel competition within the electricity sector</t>
  </si>
  <si>
    <t>Effective tax year, number</t>
  </si>
  <si>
    <r>
      <t xml:space="preserve">in </t>
    </r>
    <r>
      <rPr>
        <sz val="9"/>
        <rFont val="Calibri"/>
        <family val="2"/>
      </rPr>
      <t>¢</t>
    </r>
    <r>
      <rPr>
        <sz val="9"/>
        <rFont val="Arial"/>
        <family val="2"/>
      </rPr>
      <t>/kWh:</t>
    </r>
  </si>
  <si>
    <t>For links to Larson bill and CTC's perspective, go to: &lt;http://bit.ly/1TwcH4&gt;.</t>
  </si>
  <si>
    <r>
      <t xml:space="preserve">This spreadsheet models the impacts of a federal carbon tax on U.S. </t>
    </r>
    <r>
      <rPr>
        <u/>
        <sz val="9"/>
        <rFont val="Arial"/>
        <family val="2"/>
      </rPr>
      <t>fuel use</t>
    </r>
    <r>
      <rPr>
        <sz val="9"/>
        <rFont val="Arial"/>
        <family val="2"/>
      </rPr>
      <t xml:space="preserve">, </t>
    </r>
    <r>
      <rPr>
        <u/>
        <sz val="9"/>
        <rFont val="Arial"/>
        <family val="2"/>
      </rPr>
      <t>carbon emissions</t>
    </r>
    <r>
      <rPr>
        <sz val="9"/>
        <rFont val="Arial"/>
        <family val="2"/>
      </rPr>
      <t xml:space="preserve"> and </t>
    </r>
    <r>
      <rPr>
        <u/>
        <sz val="9"/>
        <rFont val="Arial"/>
        <family val="2"/>
      </rPr>
      <t>revenues</t>
    </r>
    <r>
      <rPr>
        <sz val="9"/>
        <rFont val="Arial"/>
        <family val="2"/>
      </rPr>
      <t xml:space="preserve">, using a model that divides carbon emissions into 5 sectors: </t>
    </r>
    <r>
      <rPr>
        <b/>
        <sz val="9"/>
        <rFont val="Arial"/>
        <family val="2"/>
      </rPr>
      <t>Electricity</t>
    </r>
    <r>
      <rPr>
        <sz val="9"/>
        <rFont val="Arial"/>
        <family val="2"/>
      </rPr>
      <t xml:space="preserve">, </t>
    </r>
    <r>
      <rPr>
        <b/>
        <sz val="9"/>
        <rFont val="Arial"/>
        <family val="2"/>
      </rPr>
      <t>Personal Ground Travel</t>
    </r>
    <r>
      <rPr>
        <sz val="9"/>
        <rFont val="Arial"/>
        <family val="2"/>
      </rPr>
      <t xml:space="preserve">, </t>
    </r>
    <r>
      <rPr>
        <b/>
        <sz val="9"/>
        <rFont val="Arial"/>
        <family val="2"/>
      </rPr>
      <t>Freight</t>
    </r>
    <r>
      <rPr>
        <sz val="9"/>
        <rFont val="Arial"/>
        <family val="2"/>
      </rPr>
      <t xml:space="preserve">, </t>
    </r>
    <r>
      <rPr>
        <b/>
        <sz val="9"/>
        <rFont val="Arial"/>
        <family val="2"/>
      </rPr>
      <t>Aviation</t>
    </r>
    <r>
      <rPr>
        <sz val="9"/>
        <rFont val="Arial"/>
        <family val="2"/>
      </rPr>
      <t xml:space="preserve">, and </t>
    </r>
    <r>
      <rPr>
        <b/>
        <sz val="9"/>
        <rFont val="Arial"/>
        <family val="2"/>
      </rPr>
      <t>Other</t>
    </r>
    <r>
      <rPr>
        <sz val="9"/>
        <rFont val="Arial"/>
        <family val="2"/>
      </rPr>
      <t>.</t>
    </r>
  </si>
  <si>
    <r>
      <t xml:space="preserve">This summary sheet combines emission projections from five worksheets: </t>
    </r>
    <r>
      <rPr>
        <b/>
        <sz val="9"/>
        <rFont val="Arial"/>
        <family val="2"/>
      </rPr>
      <t>Electricity</t>
    </r>
    <r>
      <rPr>
        <sz val="9"/>
        <rFont val="Arial"/>
        <family val="2"/>
      </rPr>
      <t xml:space="preserve">, </t>
    </r>
    <r>
      <rPr>
        <b/>
        <sz val="9"/>
        <rFont val="Arial"/>
        <family val="2"/>
      </rPr>
      <t>Personal Ground Travel</t>
    </r>
    <r>
      <rPr>
        <sz val="9"/>
        <rFont val="Arial"/>
        <family val="2"/>
      </rPr>
      <t xml:space="preserve">, </t>
    </r>
    <r>
      <rPr>
        <b/>
        <sz val="9"/>
        <rFont val="Arial"/>
        <family val="2"/>
      </rPr>
      <t>Freight</t>
    </r>
    <r>
      <rPr>
        <sz val="9"/>
        <rFont val="Arial"/>
        <family val="2"/>
      </rPr>
      <t xml:space="preserve">, </t>
    </r>
    <r>
      <rPr>
        <b/>
        <sz val="9"/>
        <rFont val="Arial"/>
        <family val="2"/>
      </rPr>
      <t>Aviation</t>
    </r>
    <r>
      <rPr>
        <sz val="9"/>
        <rFont val="Arial"/>
        <family val="2"/>
      </rPr>
      <t xml:space="preserve"> and </t>
    </r>
    <r>
      <rPr>
        <b/>
        <sz val="9"/>
        <rFont val="Arial"/>
        <family val="2"/>
      </rPr>
      <t>Other</t>
    </r>
    <r>
      <rPr>
        <sz val="9"/>
        <rFont val="Arial"/>
        <family val="2"/>
      </rPr>
      <t>. See graph worksheets for visual representations.</t>
    </r>
  </si>
  <si>
    <t>CO2 emissions, millions of metric tons, with carbon tax incremented at levels inputted above</t>
  </si>
  <si>
    <t>This version of the model is set up (pre-inputted) for a carbon tax that begins at $15 per ton of carbon dioxide (CO2) and increments by $12.50 per ton per year. These inputs correspond to the Larson bill introduced by Connecticut Rep. John Larson in 2009. Initial amount and increment rate can be changed at the user's command, as discussed below.</t>
  </si>
  <si>
    <r>
      <t xml:space="preserve">For more on the Carbon Tax Center, visit &lt;http://www.carbontax.org/&gt;. </t>
    </r>
    <r>
      <rPr>
        <b/>
        <sz val="9"/>
        <rFont val="Arial"/>
        <family val="2"/>
      </rPr>
      <t>To reach Komanoff, write to kea@igc.org.</t>
    </r>
  </si>
  <si>
    <t>(Example: with a compound growth rate of 10%, along with an initial tax rate of $10, the second-year tax rate would be $11.00, third-year rate $12.10, next year $13.31, etc.)</t>
  </si>
  <si>
    <t xml:space="preserve">  from Personal Ground Travel </t>
  </si>
  <si>
    <t xml:space="preserve">  from Aviation </t>
  </si>
  <si>
    <t>Downloaded from http://www.bea.gov/bea/dn/gdplev.xls (accessed from http://www.bea.gov/index.htm)</t>
  </si>
  <si>
    <t>mer_dataT07.06</t>
  </si>
  <si>
    <t>mer_dataT09.09</t>
  </si>
  <si>
    <t>U.S. Statistical Abstract, Table 683. Average Annual Expenditures of All Consumer Units by Type of Expenditure</t>
  </si>
  <si>
    <t>Dollars</t>
  </si>
  <si>
    <t>Number of HH's</t>
  </si>
  <si>
    <t>U.S. Statistical Abstract, Table 683. Note that SA uses the expression "Consumer Unit" rather than HH.</t>
  </si>
  <si>
    <t>Household spending on electricity, billions</t>
  </si>
  <si>
    <t>GDP,  billions, 2009</t>
  </si>
  <si>
    <t>Electricity expenditures by U.S. end-users, billions, 2009</t>
  </si>
  <si>
    <t>Residential Retail Sales, GWh, 2009</t>
  </si>
  <si>
    <t>Residential share of Retail Sales, 2009</t>
  </si>
  <si>
    <t>Average residential retail price, per kWh, 2009</t>
  </si>
  <si>
    <t>Average annual expenditures per HH, 2008</t>
  </si>
  <si>
    <t>Average number persons per HH, 2008</t>
  </si>
  <si>
    <t xml:space="preserve">U.S. Statistical Abstract, Table 683. </t>
  </si>
  <si>
    <t>Per-HH expenditures on natural gas, 2008</t>
  </si>
  <si>
    <t>Per-HH expenditures on electricity, 2008</t>
  </si>
  <si>
    <t>Per-HH expenditures on fuel oil and other fuels, 2008</t>
  </si>
  <si>
    <t>Per-HH expenditures on gasoline and motor oil, 2008</t>
  </si>
  <si>
    <t>Per-HH expenditures on "transportation" (air travel?), 2008</t>
  </si>
  <si>
    <t>Household spending on natural gas, billions, 2008</t>
  </si>
  <si>
    <t>Household spending on electricity, billions, 2008</t>
  </si>
  <si>
    <t>Disposable Personal Income, billions, 2009</t>
  </si>
  <si>
    <t>U.S. Statistical Abstract, Table 677. Personal Income and Its Disposition. Note: 2008 = $10,806.</t>
  </si>
  <si>
    <t>U.S. Statistical Abstract, Table 677. Personal Income and Its Disposition. Note: 2008 = $10,130.</t>
  </si>
  <si>
    <t>Personal consumption expenditures, billions, 2009</t>
  </si>
  <si>
    <t>Household spending on fuel oil + other fuels, billions, 2008</t>
  </si>
  <si>
    <t>Household spending on gasoline + motor oil, billions, 2008</t>
  </si>
  <si>
    <t>Household spending on transportation (air travel?), billions, 2008</t>
  </si>
  <si>
    <t>Yr-on-yr Ratio</t>
  </si>
  <si>
    <t>Elasticities</t>
  </si>
  <si>
    <t>GDP in billions of chained 2005 dollars</t>
  </si>
  <si>
    <t>Avg Retail Price of Electricity, 2005 cents/kWh, including taxes</t>
  </si>
  <si>
    <t>Total Electricity End Use, GWh</t>
  </si>
  <si>
    <t>USEIA, Annual Energy Review, Table 8.9.</t>
  </si>
  <si>
    <t>USEIA, Annual Energy Review, Table 8.10. Uses GDP Deflator.</t>
  </si>
  <si>
    <t>GDP Growth</t>
  </si>
  <si>
    <t>Electricity Price Growth</t>
  </si>
  <si>
    <t>Electricity Use Growth</t>
  </si>
  <si>
    <t>SUMMARY OUTPUT</t>
  </si>
  <si>
    <t>Regression Statistics</t>
  </si>
  <si>
    <t>Multiple R</t>
  </si>
  <si>
    <t>R Square</t>
  </si>
  <si>
    <t>Adjusted R Square</t>
  </si>
  <si>
    <t>Standard Error</t>
  </si>
  <si>
    <t>Observations</t>
  </si>
  <si>
    <t>ANOVA</t>
  </si>
  <si>
    <t>Regression</t>
  </si>
  <si>
    <t>Residual</t>
  </si>
  <si>
    <t>Intercept</t>
  </si>
  <si>
    <t>df</t>
  </si>
  <si>
    <t>SS</t>
  </si>
  <si>
    <t>MS</t>
  </si>
  <si>
    <t>F</t>
  </si>
  <si>
    <t>Significance F</t>
  </si>
  <si>
    <t>Coefficients</t>
  </si>
  <si>
    <t>t Stat</t>
  </si>
  <si>
    <t>P-value</t>
  </si>
  <si>
    <t>Lower 95%</t>
  </si>
  <si>
    <t>Upper 95%</t>
  </si>
  <si>
    <t>Lower 95.0%</t>
  </si>
  <si>
    <t>Upper 95.0%</t>
  </si>
  <si>
    <t>RESIDUAL OUTPUT</t>
  </si>
  <si>
    <t>Observation</t>
  </si>
  <si>
    <t>Residuals</t>
  </si>
  <si>
    <t>1. Electricity</t>
  </si>
  <si>
    <t xml:space="preserve">Multiple regression of U.S. year-to-year electricity growth on GDP growth and electricity price growth indicated an income elasticity of 0.90 (with 95% confidence interval of 0.60 to 1.20). Price elasticity was not statistically significant, however. R Square for the regression was 0.584. Data series extended from 1970 (actually 1971, since year-on-year growth is the independent variable) through 2009. </t>
  </si>
  <si>
    <t>5-y Electricity Price Growth</t>
  </si>
  <si>
    <t>Multiple regression on the same 1971-2009 data series, but with a 5-year compound average increase in the real price, indicated an income elasticity of 0.89 (t statistic, 6.8). Price elasticity was negative 0.06 but was statistically insignificant, with a t-statistic of -0.54.</t>
  </si>
  <si>
    <t>Predicted 0.0295570521777269</t>
  </si>
  <si>
    <t>Multiple regression on 1990-2009 data, with real price growth taken as a 5-year compound average, indicated an income elasticity of 0.60 (t statistic, 2.82). Price elasticity was negative 0.23 but was not statistically significant, with a t-statistic of -1.02.</t>
  </si>
  <si>
    <t>Price</t>
  </si>
  <si>
    <t>Income</t>
  </si>
  <si>
    <t>All figures are in billions of dollars</t>
  </si>
  <si>
    <t>Equates to per-yr reduxn:</t>
  </si>
  <si>
    <t xml:space="preserve">U.S. electricity end use (TWh), without carbon tax </t>
  </si>
  <si>
    <t>U.S. spending on gasoline, billions, 2008</t>
  </si>
  <si>
    <r>
      <t>Product of year's daily-average gasoline consumption (EIA/MER) and average retail price (</t>
    </r>
    <r>
      <rPr>
        <u/>
        <sz val="8"/>
        <rFont val="Arial"/>
        <family val="2"/>
      </rPr>
      <t>Ibid.</t>
    </r>
    <r>
      <rPr>
        <sz val="8"/>
        <rFont val="Arial"/>
        <family val="2"/>
      </rPr>
      <t>)</t>
    </r>
  </si>
  <si>
    <t>Household share of gasoline expenditures, 2009</t>
  </si>
  <si>
    <t>Gasoline (Personal Ground Travel)</t>
  </si>
  <si>
    <t>Change in U.S. electricity end-usage due to price impact of carbon tax, gigawatt-hours</t>
  </si>
  <si>
    <t>Average retail gasoline price, per gallon, with carbon tax</t>
  </si>
  <si>
    <t>Average retail diesel price, per gallon, with carbon tax</t>
  </si>
  <si>
    <t>Average user price of "other" fuel, per million Btu, with carbon tax</t>
  </si>
  <si>
    <t>Annual surtax increment, cents/gallon; OR Annual % growth</t>
  </si>
  <si>
    <r>
      <t xml:space="preserve">A. Select </t>
    </r>
    <r>
      <rPr>
        <b/>
        <u/>
        <sz val="9"/>
        <rFont val="Arial"/>
        <family val="2"/>
      </rPr>
      <t>initial carbon tax</t>
    </r>
    <r>
      <rPr>
        <b/>
        <sz val="9"/>
        <rFont val="Arial"/>
        <family val="2"/>
      </rPr>
      <t>, per ton of carbon dioxide emitted (not carbon)</t>
    </r>
  </si>
  <si>
    <t>D. Now select time period over which tax is to be applied</t>
  </si>
  <si>
    <r>
      <t xml:space="preserve">Last year in which tax level is incremented </t>
    </r>
    <r>
      <rPr>
        <sz val="8"/>
        <rFont val="Arial"/>
        <family val="2"/>
      </rPr>
      <t>(after which tax remains in effect, at level reached in year chosen)</t>
    </r>
  </si>
  <si>
    <t>Diesel</t>
  </si>
  <si>
    <t>Aviation fuel</t>
  </si>
  <si>
    <t>YES</t>
  </si>
  <si>
    <t>2. The initial tax will be compounded annually at a % rate chosen by you, here:</t>
  </si>
  <si>
    <r>
      <t xml:space="preserve">C. Now select surtax rate, if any, on certain liquid fuels </t>
    </r>
    <r>
      <rPr>
        <sz val="9"/>
        <rFont val="Arial"/>
        <family val="2"/>
      </rPr>
      <t>(in ¢/gal, to be applied in tax's initial year):</t>
    </r>
  </si>
  <si>
    <t>Additional tax on gasoline, cents/gallon, initial year (if surtax, beyond carbon tax)</t>
  </si>
  <si>
    <t>Additional tax on diesel, cents/gallon, initial year (if surtax, beyond carbon tax)</t>
  </si>
  <si>
    <t>U.S. Distillate fuel oil used for freight (000 bbls per year)</t>
  </si>
  <si>
    <r>
      <t xml:space="preserve">Share of U.S. distillate used as diesel fuel for freight movement </t>
    </r>
    <r>
      <rPr>
        <sz val="8"/>
        <rFont val="Arial"/>
        <family val="2"/>
      </rPr>
      <t>(KEA est.)</t>
    </r>
  </si>
  <si>
    <t>Diesel usage for moving freight, million gallons/yr, w/o carbon tax</t>
  </si>
  <si>
    <t>Diesel (Freight)</t>
  </si>
  <si>
    <t>Household share of diesel fuel expenditures, 2009</t>
  </si>
  <si>
    <t>CO2 emissions from gasoline for personal ground travel, millions of metric tons, with carbon tax</t>
  </si>
  <si>
    <t>CO2 emissions from diesel for moving freight, millions of metric tons, with carbon tax</t>
  </si>
  <si>
    <t>Additional tax on jet fuel, cents/gallon, initial year (if surtax, beyond carbon tax)</t>
  </si>
  <si>
    <t>Average retail jet fuel price, per gallon, with carbon tax</t>
  </si>
  <si>
    <t>Change in U.S. jet fuel sales due to price impact of carbon tax, million gallons</t>
  </si>
  <si>
    <t>Change in U.S. gasoline sales due to price impact of carbon tax, million gallons</t>
  </si>
  <si>
    <t>Change in U.S. diesel sales due to price impact of carbon tax, million gallons</t>
  </si>
  <si>
    <t>Jet Fuel (Aviation)</t>
  </si>
  <si>
    <t>Revenue, U.S. Airline Industry, 2009, billions</t>
  </si>
  <si>
    <t>U.S. Statistical Abstract, Table 1072, U.S. Scheduled Airline Industry.</t>
  </si>
  <si>
    <t>Same, but for cargo only</t>
  </si>
  <si>
    <t>Passenger share</t>
  </si>
  <si>
    <t>Assumed % of the above that is household-based rather than business</t>
  </si>
  <si>
    <t>Household share of jet fuel expenditures</t>
  </si>
  <si>
    <r>
      <t>U.S. Consumption of Fossil Fuels by Major Category, Quads per year (1 Quad = 10</t>
    </r>
    <r>
      <rPr>
        <b/>
        <vertAlign val="superscript"/>
        <sz val="9"/>
        <rFont val="Arial"/>
        <family val="2"/>
      </rPr>
      <t>15</t>
    </r>
    <r>
      <rPr>
        <b/>
        <sz val="9"/>
        <rFont val="Arial"/>
        <family val="2"/>
      </rPr>
      <t xml:space="preserve"> Btu)</t>
    </r>
  </si>
  <si>
    <t>Other Fuel (primarily natural gas)</t>
  </si>
  <si>
    <t>Household share of 'other' fuel expenditures</t>
  </si>
  <si>
    <t>Additional tax on 'other' fuel, cents/gallon, initial year (if surtax, beyond carbon tax)</t>
  </si>
  <si>
    <t xml:space="preserve">Ratio of "Other" emissions (in pounds per million Btu) to same for Personal Ground Travel. </t>
  </si>
  <si>
    <t>Result suggests "Other" is dominated by natural gas.</t>
  </si>
  <si>
    <t>¢/MMBtu</t>
  </si>
  <si>
    <t>Change in U.S. "other" fuel sales due to price impact of carbon tax, trillion btu</t>
  </si>
  <si>
    <t xml:space="preserve">CARBON TAX 5-SECTOR MODEL </t>
  </si>
  <si>
    <t>CARBON TAX 5-SECTOR MODEL by Charles Komanoff is licensed under a Creative Commons Attribution-NonCommercial 3.0 Unported License.</t>
  </si>
  <si>
    <t>Emissions are expressed in CO2 (rather than carbon) and, for the most part, in metric terms. However, the carbon tax rate is inputted in British tons of CO2, not metric tons (tonnes).</t>
  </si>
  <si>
    <t>Actual</t>
  </si>
  <si>
    <t>Estimated</t>
  </si>
  <si>
    <t>Projected</t>
  </si>
  <si>
    <r>
      <t xml:space="preserve">Year in which tax first takes effect </t>
    </r>
    <r>
      <rPr>
        <sz val="8"/>
        <rFont val="Arial"/>
        <family val="2"/>
      </rPr>
      <t>(tax is assumed to begin on Jan. 1, hence it 'covers' the full year)</t>
    </r>
  </si>
  <si>
    <t>Change in CO2 due to that carbon tax, relative to moving trajectory, million metric tons</t>
  </si>
  <si>
    <t>Change in CO2 in that year, relative to same year's CO2 if no carbon tax, expressed as a percent.</t>
  </si>
  <si>
    <t>Tax Revenues, $ billions</t>
  </si>
  <si>
    <t xml:space="preserve">Multiple regression on same data series, but with 5-y compound avg incrs in real price, so that data extended from 1975 through 2009, indicated income elasticity of 0.85 (95% confidence interval of 0.59 to 1.11). Price elasticity was not statistically significant; coefficient was negative 0.055, but 95% confidence interval ranged from negative 0.27 to positive 0.16. R Square for regression was 0.589. </t>
  </si>
  <si>
    <t>[Note: This page will be relegated to back of file, or removed altogether. -- CK]</t>
  </si>
  <si>
    <t>Change in CO2 due to carbon tax, million metric tons, relative to moving trajectory</t>
  </si>
  <si>
    <t>Change in CO2 due to carbon tax, million metric tons, relative to 2009 emissions</t>
  </si>
  <si>
    <t>Change in electricity end-usage, relative to ongoing trend w/o carbon tax</t>
  </si>
  <si>
    <t>Change in gasoline usage, relative to ongoing trend w/o carbon tax</t>
  </si>
  <si>
    <t>Change in diesel usage, relative to ongoing trend w/o carbon tax</t>
  </si>
  <si>
    <t>Change in "other" fuel usage, relative to ongoing trend w/o carbon tax</t>
  </si>
  <si>
    <t>Change in jet fuel usage, relative to ongoing trend w/o carbon tax</t>
  </si>
  <si>
    <t>Same as above, except each value is average change from year preceding onset of carbon tax, compounded annually.</t>
  </si>
  <si>
    <t>CO2 in that year, relative to actual CO2 emissions in 2005</t>
  </si>
  <si>
    <t>All oil consumption figures are for USA, in million of barrels per day</t>
  </si>
  <si>
    <t>J Handley wrote to CK, on 27-Sept-2011: Metcalf modeled an $18/T CO2 tax (rising 4% real).  He estimated 14% reductions after one year, comprised of 49% reductions in the non-CO2 GHGs and 8.4% CO2 reductions.  (But non-CO2 GHG's represent only ~20% of CO2-eq.)  See "Proposal for Carbon Tax Swap" p 12. 
&lt;http://www.brookings.edu/~/media/Files/rc/papers/2007/10carbontax_metcalf/10_carbontax_metcalf.pdf&gt;</t>
  </si>
  <si>
    <t>This worksheet has not been updated since 2009.</t>
  </si>
  <si>
    <t>Re-Spending</t>
  </si>
  <si>
    <t>[This worksheet, created Sept 2011, requires major reformatting + documentation.]</t>
  </si>
  <si>
    <t>Charts annual CO2 emissions with and without the assumed tax(es).</t>
  </si>
  <si>
    <r>
      <t>Graph_Oil</t>
    </r>
    <r>
      <rPr>
        <sz val="9"/>
        <rFont val="Arial"/>
        <family val="2"/>
      </rPr>
      <t xml:space="preserve"> </t>
    </r>
  </si>
  <si>
    <t>Charts U.S. petroleum requirements with and without the assumed tax(es).</t>
  </si>
  <si>
    <t>Emissions</t>
  </si>
  <si>
    <t>GHG's</t>
  </si>
  <si>
    <t>Revenue</t>
  </si>
  <si>
    <t>Calculates revenue allocations from "AESTFA" carbon tax bill proposed by Rep. John Larson.</t>
  </si>
  <si>
    <r>
      <t xml:space="preserve">Also select which fuels are subject to this (optional) surtax </t>
    </r>
    <r>
      <rPr>
        <sz val="8"/>
        <rFont val="Arial"/>
        <family val="2"/>
      </rPr>
      <t>(all are subject to carbon tax, regardless)</t>
    </r>
  </si>
  <si>
    <t>Note: This worksheet is pre-formatted to print to six pages. Print area extends only to 2030.</t>
  </si>
  <si>
    <t>Great. You should now be ready to go.</t>
  </si>
  <si>
    <t>Before you begin, please take these 7 quick steps to ensure that your
Excel program can handle the mathematical interactivity built into the model.</t>
  </si>
  <si>
    <t>Why? Since the model is written dynamically and interactively, you must configure Excel to feed cell outputs back into other cells. Otherwise, the model will return "circular formulas" with blank or incorrect results.</t>
  </si>
  <si>
    <t>Results</t>
  </si>
  <si>
    <t>Freight (Goods Movement)</t>
  </si>
  <si>
    <t>% Reduction from 2005</t>
  </si>
  <si>
    <t>Share of Reductions</t>
  </si>
  <si>
    <t>1. Results Summary for Year 2020 (CO2 Emissions)</t>
  </si>
  <si>
    <t>2. Annual Emissions</t>
  </si>
  <si>
    <t>EIA, Monthly Energy Review, Table 3.5. Petroleum Products Supplied by Type, downloaded 28-Sept-2011. 2011 figures prorate 2010 by first-7-months comparison.</t>
  </si>
  <si>
    <t>User Selected Carbon Emissions Price</t>
  </si>
  <si>
    <t>If you're running Excel-2007 or later:</t>
  </si>
  <si>
    <t>If you're running Excel-2003 or earlier:</t>
  </si>
  <si>
    <r>
      <t>Click the</t>
    </r>
    <r>
      <rPr>
        <b/>
        <sz val="9"/>
        <rFont val="Arial"/>
        <family val="2"/>
      </rPr>
      <t xml:space="preserve"> </t>
    </r>
    <r>
      <rPr>
        <b/>
        <sz val="9"/>
        <color indexed="63"/>
        <rFont val="Arial"/>
        <family val="2"/>
      </rPr>
      <t xml:space="preserve">Microsoft Office Button </t>
    </r>
    <r>
      <rPr>
        <sz val="9"/>
        <color indexed="63"/>
        <rFont val="Arial"/>
        <family val="2"/>
      </rPr>
      <t>in the far upper left-hand corner of your screen.</t>
    </r>
  </si>
  <si>
    <r>
      <t xml:space="preserve">A new window will appear on your screen. At the very bottom of the window, click </t>
    </r>
    <r>
      <rPr>
        <b/>
        <sz val="9"/>
        <rFont val="Arial"/>
        <family val="2"/>
      </rPr>
      <t>Excel Options.</t>
    </r>
  </si>
  <si>
    <r>
      <t xml:space="preserve">In left-hand column, near the top, click </t>
    </r>
    <r>
      <rPr>
        <b/>
        <sz val="9"/>
        <rFont val="Arial"/>
        <family val="2"/>
      </rPr>
      <t>Formulas</t>
    </r>
    <r>
      <rPr>
        <sz val="9"/>
        <rFont val="Arial"/>
        <family val="2"/>
      </rPr>
      <t>.</t>
    </r>
  </si>
  <si>
    <r>
      <t xml:space="preserve">In </t>
    </r>
    <r>
      <rPr>
        <b/>
        <sz val="9"/>
        <color indexed="63"/>
        <rFont val="Arial"/>
        <family val="2"/>
      </rPr>
      <t>Calculation options</t>
    </r>
    <r>
      <rPr>
        <sz val="9"/>
        <color indexed="63"/>
        <rFont val="Arial"/>
        <family val="2"/>
      </rPr>
      <t xml:space="preserve"> section, select </t>
    </r>
    <r>
      <rPr>
        <b/>
        <sz val="9"/>
        <color indexed="63"/>
        <rFont val="Arial"/>
        <family val="2"/>
      </rPr>
      <t>Enable iterative calculation</t>
    </r>
    <r>
      <rPr>
        <sz val="9"/>
        <color indexed="63"/>
        <rFont val="Arial"/>
        <family val="2"/>
      </rPr>
      <t xml:space="preserve"> check box.</t>
    </r>
  </si>
  <si>
    <r>
      <t xml:space="preserve">Set </t>
    </r>
    <r>
      <rPr>
        <b/>
        <sz val="9"/>
        <rFont val="Arial"/>
        <family val="2"/>
      </rPr>
      <t>maximum number of iterations</t>
    </r>
    <r>
      <rPr>
        <sz val="9"/>
        <rFont val="Arial"/>
        <family val="2"/>
      </rPr>
      <t xml:space="preserve"> to 100.</t>
    </r>
  </si>
  <si>
    <r>
      <t xml:space="preserve">Set </t>
    </r>
    <r>
      <rPr>
        <b/>
        <sz val="9"/>
        <rFont val="Arial"/>
        <family val="2"/>
      </rPr>
      <t xml:space="preserve">maximum change </t>
    </r>
    <r>
      <rPr>
        <sz val="9"/>
        <rFont val="Arial"/>
        <family val="2"/>
      </rPr>
      <t>box to 0.001.</t>
    </r>
  </si>
  <si>
    <r>
      <t>Press OK</t>
    </r>
    <r>
      <rPr>
        <sz val="9"/>
        <rFont val="Arial"/>
        <family val="2"/>
      </rPr>
      <t xml:space="preserve"> at the bottom.</t>
    </r>
  </si>
  <si>
    <r>
      <t xml:space="preserve">Go to </t>
    </r>
    <r>
      <rPr>
        <sz val="9"/>
        <rFont val="Arial"/>
        <family val="2"/>
      </rPr>
      <t xml:space="preserve">Excel </t>
    </r>
    <r>
      <rPr>
        <b/>
        <sz val="9"/>
        <rFont val="Arial"/>
        <family val="2"/>
      </rPr>
      <t>Options</t>
    </r>
    <r>
      <rPr>
        <sz val="9"/>
        <rFont val="Arial"/>
        <family val="2"/>
      </rPr>
      <t xml:space="preserve">, which should be in your Excel toolbar under the </t>
    </r>
    <r>
      <rPr>
        <b/>
        <sz val="9"/>
        <rFont val="Arial"/>
        <family val="2"/>
      </rPr>
      <t>Tools</t>
    </r>
    <r>
      <rPr>
        <sz val="9"/>
        <rFont val="Arial"/>
        <family val="2"/>
      </rPr>
      <t xml:space="preserve"> menu choice.</t>
    </r>
    <r>
      <rPr>
        <sz val="9"/>
        <rFont val="Arial"/>
        <family val="2"/>
      </rPr>
      <t/>
    </r>
  </si>
  <si>
    <r>
      <t xml:space="preserve">Click on </t>
    </r>
    <r>
      <rPr>
        <b/>
        <sz val="9"/>
        <rFont val="Arial"/>
        <family val="2"/>
      </rPr>
      <t>Options</t>
    </r>
    <r>
      <rPr>
        <sz val="9"/>
        <rFont val="Arial"/>
        <family val="2"/>
      </rPr>
      <t xml:space="preserve">, and navigate to the tab called </t>
    </r>
    <r>
      <rPr>
        <b/>
        <sz val="9"/>
        <rFont val="Arial"/>
        <family val="2"/>
      </rPr>
      <t xml:space="preserve">Calculation. </t>
    </r>
  </si>
  <si>
    <r>
      <t xml:space="preserve">Under </t>
    </r>
    <r>
      <rPr>
        <b/>
        <sz val="9"/>
        <rFont val="Arial"/>
        <family val="2"/>
      </rPr>
      <t>Calculation options</t>
    </r>
    <r>
      <rPr>
        <sz val="9"/>
        <rFont val="Arial"/>
        <family val="2"/>
      </rPr>
      <t xml:space="preserve">, select </t>
    </r>
    <r>
      <rPr>
        <b/>
        <sz val="9"/>
        <rFont val="Arial"/>
        <family val="2"/>
      </rPr>
      <t>Iterations</t>
    </r>
    <r>
      <rPr>
        <sz val="9"/>
        <rFont val="Arial"/>
        <family val="2"/>
      </rPr>
      <t xml:space="preserve"> check box (may be called </t>
    </r>
    <r>
      <rPr>
        <b/>
        <sz val="9"/>
        <rFont val="Arial"/>
        <family val="2"/>
      </rPr>
      <t>Enable iterative calculation</t>
    </r>
    <r>
      <rPr>
        <sz val="9"/>
        <rFont val="Arial"/>
        <family val="2"/>
      </rPr>
      <t>).</t>
    </r>
  </si>
  <si>
    <r>
      <t xml:space="preserve">Set the </t>
    </r>
    <r>
      <rPr>
        <b/>
        <sz val="9"/>
        <rFont val="Arial"/>
        <family val="2"/>
      </rPr>
      <t>maximum number of iterations</t>
    </r>
    <r>
      <rPr>
        <sz val="9"/>
        <rFont val="Arial"/>
        <family val="2"/>
      </rPr>
      <t xml:space="preserve"> to 100.</t>
    </r>
  </si>
  <si>
    <r>
      <t xml:space="preserve">Set the </t>
    </r>
    <r>
      <rPr>
        <b/>
        <sz val="9"/>
        <rFont val="Arial"/>
        <family val="2"/>
      </rPr>
      <t xml:space="preserve">maximum change </t>
    </r>
    <r>
      <rPr>
        <sz val="9"/>
        <rFont val="Arial"/>
        <family val="2"/>
      </rPr>
      <t>box to 0.001.</t>
    </r>
  </si>
  <si>
    <r>
      <t>Press OK</t>
    </r>
    <r>
      <rPr>
        <sz val="9"/>
        <rFont val="Arial"/>
        <family val="2"/>
      </rPr>
      <t xml:space="preserve"> and begin.</t>
    </r>
    <r>
      <rPr>
        <b/>
        <sz val="10"/>
        <rFont val="Arial"/>
        <family val="2"/>
      </rPr>
      <t/>
    </r>
  </si>
  <si>
    <t>%'s of CO2 est'd to come from petroleum fuels</t>
  </si>
  <si>
    <t>Trillion Btu est'd to come from petroleum fuels</t>
  </si>
  <si>
    <t>Petroleum Consumption, thousand bbl/day</t>
  </si>
  <si>
    <t>US EPA, 430-R-11-005, Inventory of U.S. Greenhouse Gas Emissions and Sinks: 1990–2009, April 15, 2011 &lt;http://epa.gov/climatechange/emissions/downloads11/US-GHG-Inventory-2011-Complete_Report.pdf&gt;</t>
  </si>
  <si>
    <t>Adjustment to calculated fig for P G Travel</t>
  </si>
  <si>
    <t>Note: Throughout, 2006 figures (which we did not record independently) are taken as the mean of entries for 2005 and 2007.</t>
  </si>
  <si>
    <t>WITH CARBON TAX</t>
  </si>
  <si>
    <t>WITHOUT CARBON TAX</t>
  </si>
  <si>
    <t>Projected oil requirements w/ tax shown, vis-à-vis actual in 2005:</t>
  </si>
  <si>
    <t>Projected oil requirements relative to 2020 if no carbon price:</t>
  </si>
  <si>
    <t>There are 12 worksheets, including this one.</t>
  </si>
  <si>
    <r>
      <t xml:space="preserve">2012 over 2011 </t>
    </r>
    <r>
      <rPr>
        <sz val="8"/>
        <rFont val="Arial"/>
        <family val="2"/>
      </rPr>
      <t>(Komanoff projection)</t>
    </r>
  </si>
  <si>
    <r>
      <t xml:space="preserve">All other years </t>
    </r>
    <r>
      <rPr>
        <sz val="8"/>
        <rFont val="Arial"/>
        <family val="2"/>
      </rPr>
      <t>(Komanoff projection)</t>
    </r>
  </si>
  <si>
    <t>It calculates the reductions in U.S. carbon dioxide emissions that would result from implementing either a "straight" carbon tax (levied on on the carbon contents of coal, oil and natural gas) or a "hybrid carbon tax" that would overly a per-gallon tax on selected petroleum products (e.g., gasoline and aviation fuel) atop the straight carbon tax.</t>
  </si>
  <si>
    <r>
      <t xml:space="preserve">The user selects levels of both taxes below. Setting the extra petrol tax to zero eliminates hybrid aspect. Note that the model cannot </t>
    </r>
    <r>
      <rPr>
        <sz val="9"/>
        <rFont val="Arial"/>
        <family val="2"/>
      </rPr>
      <t>explicitly model effects of supplemental, "exogenous" measures to reduce carbon emissions (e.g., energy-efficiency standards, renewable-energy mandates, direct USEPA regulation of carbon emissions).</t>
    </r>
  </si>
  <si>
    <t>Compiles U.S. emissions of other (non-CO2) greenhouse gases (still under development).</t>
  </si>
  <si>
    <t>Compiles U.S. emissions of carbon dioxide in recent years. Needed to establish baseline emissions.</t>
  </si>
  <si>
    <t>Magenta-colored cells may be entered by you, the user. LEAVE OTHER CELLS ALONE, to avoid inadvertently altering the formulas that determine their value.</t>
  </si>
  <si>
    <t xml:space="preserve">Breakdown of CO2 changes (relative to moving trajectory, not 2005) among the five sectors </t>
  </si>
  <si>
    <t>3. Annual Revenues</t>
  </si>
  <si>
    <r>
      <t>4. Annual Oil Requirements</t>
    </r>
    <r>
      <rPr>
        <sz val="10"/>
        <rFont val="Arial"/>
        <family val="2"/>
      </rPr>
      <t xml:space="preserve"> </t>
    </r>
    <r>
      <rPr>
        <sz val="9"/>
        <rFont val="Arial"/>
        <family val="2"/>
      </rPr>
      <t xml:space="preserve">(calculated in </t>
    </r>
    <r>
      <rPr>
        <b/>
        <sz val="9"/>
        <rFont val="Arial"/>
        <family val="2"/>
      </rPr>
      <t>Graph_Oil</t>
    </r>
    <r>
      <rPr>
        <sz val="9"/>
        <rFont val="Arial"/>
        <family val="2"/>
      </rPr>
      <t xml:space="preserve"> worksheet and copied from there)</t>
    </r>
  </si>
  <si>
    <r>
      <t xml:space="preserve">Carbon Tax Dividend per capita </t>
    </r>
    <r>
      <rPr>
        <sz val="9"/>
        <rFont val="Arial"/>
        <family val="2"/>
      </rPr>
      <t>(assumes 100% of revenues are distributed equally to all U.S. residents; to calculate per-</t>
    </r>
    <r>
      <rPr>
        <i/>
        <sz val="9"/>
        <rFont val="Arial"/>
        <family val="2"/>
      </rPr>
      <t>household</t>
    </r>
    <r>
      <rPr>
        <sz val="9"/>
        <rFont val="Arial"/>
        <family val="2"/>
      </rPr>
      <t>, multiply figures shown by 2.5)</t>
    </r>
  </si>
  <si>
    <r>
      <t xml:space="preserve">Elasticities </t>
    </r>
    <r>
      <rPr>
        <sz val="9"/>
        <rFont val="Arial"/>
        <family val="2"/>
      </rPr>
      <t>(documentation of this section, to come)</t>
    </r>
  </si>
  <si>
    <t>Carbon Tax Revenues, $ billions</t>
  </si>
  <si>
    <t>Gasoline Surcharge Revenues, $ billions (w/o carbon tax component)</t>
  </si>
  <si>
    <t>Carbon Tax Revenues, $ billions (combined carbon tax + gasoline surcharge)</t>
  </si>
  <si>
    <t>Carbon Tax Revenues, $ billions (w/o gasoline surtax component)</t>
  </si>
  <si>
    <t>Diesel Surcharge Revenues, $ billions (w/o carbon tax component)</t>
  </si>
  <si>
    <t>Carbon Tax Revenues, $ billions (combined carbon tax + diesel surcharge)</t>
  </si>
  <si>
    <t>Carbon Tax Revenues, $ billions (w/o diesel surtax component)</t>
  </si>
  <si>
    <t>Jet Fuel Tax Revenues, $ billions (w/o carbon tax component)</t>
  </si>
  <si>
    <t>Carbon Tax Revenues, $ billions (carbon tax + jet fuel tax, combined)</t>
  </si>
  <si>
    <t>Carbon Tax Revenues, $ billions (w/o jet fuel tax component)</t>
  </si>
  <si>
    <t>"Other" Fuel Tax Revenues, $ billions (w/o carbon tax component)</t>
  </si>
  <si>
    <t>Carbon Tax Revenues, $ billions (carbon tax + "other" fuel tax, combined)</t>
  </si>
  <si>
    <t>Projected emissions relative to emissions in 2020 without a carbon price:</t>
  </si>
  <si>
    <t>Projected emissions with carbon tax, vis-à-vis actual emissions in 2005:</t>
  </si>
  <si>
    <t>Projected 2020 oil requirements w/ tax, vis-à-vis actual in 2005:</t>
  </si>
  <si>
    <t>Projected 2020 oil req'ments w/ tax, vis-à-vis 2020 projection w/o tax:</t>
  </si>
  <si>
    <t>Sectoral Breakdown of 2020 Emission Reductions</t>
  </si>
  <si>
    <t>Figure = 83% of 2005 figure.</t>
  </si>
  <si>
    <t>Note: Inputting a $6.37/tonCO2 price beginning in 2012 and ramping up annually at that rate, yields Waxman-Markey 17% reduction target for 2020.</t>
  </si>
  <si>
    <t>Note: This page+graph give accurate results only for 2012 tax start date. Reprogramming w/ variable date TK later this month (10/2011).</t>
  </si>
  <si>
    <t>This worksheet will be "cleaned" and sourced later in October 2011.</t>
  </si>
  <si>
    <t>Note: This worksheet has not been updated since 2009. We hope to incorporate non-CO2 GHG's into model in Oct. 2011.</t>
  </si>
  <si>
    <t>yes</t>
  </si>
</sst>
</file>

<file path=xl/styles.xml><?xml version="1.0" encoding="utf-8"?>
<styleSheet xmlns="http://schemas.openxmlformats.org/spreadsheetml/2006/main" xmlns:mc="http://schemas.openxmlformats.org/markup-compatibility/2006" xmlns:x14ac="http://schemas.microsoft.com/office/spreadsheetml/2009/9/ac" mc:Ignorable="x14ac">
  <numFmts count="22">
    <numFmt numFmtId="5" formatCode="&quot;$&quot;#,##0_);\(&quot;$&quot;#,##0\)"/>
    <numFmt numFmtId="7" formatCode="&quot;$&quot;#,##0.00_);\(&quot;$&quot;#,##0.00\)"/>
    <numFmt numFmtId="8" formatCode="&quot;$&quot;#,##0.00_);[Red]\(&quot;$&quot;#,##0.00\)"/>
    <numFmt numFmtId="44" formatCode="_(&quot;$&quot;* #,##0.00_);_(&quot;$&quot;* \(#,##0.00\);_(&quot;$&quot;* &quot;-&quot;??_);_(@_)"/>
    <numFmt numFmtId="43" formatCode="_(* #,##0.00_);_(* \(#,##0.00\);_(* &quot;-&quot;??_);_(@_)"/>
    <numFmt numFmtId="164" formatCode="_(&quot;$&quot;* #,##0_);_(&quot;$&quot;* \(#,##0\);_(&quot;$&quot;* &quot;-&quot;??_);_(@_)"/>
    <numFmt numFmtId="165" formatCode="_(* #,##0_);_(* \(#,##0\);_(* &quot;-&quot;??_);_(@_)"/>
    <numFmt numFmtId="166" formatCode="0.000"/>
    <numFmt numFmtId="167" formatCode="_(* #,##0.0_);_(* \(#,##0.0\);_(* &quot;-&quot;??_);_(@_)"/>
    <numFmt numFmtId="168" formatCode="0.0"/>
    <numFmt numFmtId="169" formatCode="0.0%"/>
    <numFmt numFmtId="170" formatCode="#,##0.0"/>
    <numFmt numFmtId="171" formatCode="_(* #,##0.000_);_(* \(#,##0.000\);_(* &quot;-&quot;??_);_(@_)"/>
    <numFmt numFmtId="172" formatCode="0_);\(0\)"/>
    <numFmt numFmtId="173" formatCode="[$$-409]#,##0_);\([$$-409]#,##0\)"/>
    <numFmt numFmtId="174" formatCode="######"/>
    <numFmt numFmtId="175" formatCode="&quot;$&quot;#,##0.000_);\(&quot;$&quot;#,##0.000\)"/>
    <numFmt numFmtId="176" formatCode="[&gt;=1]&quot;$&quot;#,##0.00;[&lt;0.1]0.0%"/>
    <numFmt numFmtId="177" formatCode="&quot;$&quot;#,##0.0_);\(&quot;$&quot;#,##0.0\)"/>
    <numFmt numFmtId="178" formatCode="#,##0.0_);\(#,##0.0\)"/>
    <numFmt numFmtId="179" formatCode="_(&quot;$&quot;* #,##0.00000000_);_(&quot;$&quot;* \(#,##0.00000000\);_(&quot;$&quot;* &quot;-&quot;??_);_(@_)"/>
    <numFmt numFmtId="180" formatCode="&quot;$&quot;#,##0.0"/>
  </numFmts>
  <fonts count="48" x14ac:knownFonts="1">
    <font>
      <sz val="9"/>
      <name val="Arial"/>
    </font>
    <font>
      <sz val="9"/>
      <name val="Arial"/>
      <family val="2"/>
    </font>
    <font>
      <b/>
      <sz val="10"/>
      <name val="Arial"/>
      <family val="2"/>
    </font>
    <font>
      <sz val="8"/>
      <name val="Arial"/>
      <family val="2"/>
    </font>
    <font>
      <u/>
      <sz val="9"/>
      <color indexed="12"/>
      <name val="Arial"/>
      <family val="2"/>
    </font>
    <font>
      <b/>
      <sz val="9"/>
      <name val="Arial"/>
      <family val="2"/>
    </font>
    <font>
      <sz val="9"/>
      <name val="Arial"/>
      <family val="2"/>
    </font>
    <font>
      <b/>
      <sz val="8"/>
      <name val="Arial"/>
      <family val="2"/>
    </font>
    <font>
      <sz val="8"/>
      <name val="Arial"/>
      <family val="2"/>
    </font>
    <font>
      <i/>
      <sz val="8"/>
      <name val="Arial"/>
      <family val="2"/>
    </font>
    <font>
      <vertAlign val="superscript"/>
      <sz val="9"/>
      <name val="Arial"/>
      <family val="2"/>
    </font>
    <font>
      <sz val="10"/>
      <name val="Arial"/>
      <family val="2"/>
    </font>
    <font>
      <u/>
      <sz val="9"/>
      <name val="Arial"/>
      <family val="2"/>
    </font>
    <font>
      <sz val="9"/>
      <color indexed="48"/>
      <name val="Arial"/>
      <family val="2"/>
    </font>
    <font>
      <b/>
      <sz val="8"/>
      <color indexed="48"/>
      <name val="Arial"/>
      <family val="2"/>
    </font>
    <font>
      <b/>
      <sz val="9"/>
      <color indexed="48"/>
      <name val="Arial"/>
      <family val="2"/>
    </font>
    <font>
      <sz val="9"/>
      <color indexed="14"/>
      <name val="Arial"/>
      <family val="2"/>
    </font>
    <font>
      <b/>
      <sz val="11"/>
      <name val="Arial"/>
      <family val="2"/>
    </font>
    <font>
      <b/>
      <sz val="9"/>
      <color indexed="14"/>
      <name val="Arial"/>
      <family val="2"/>
    </font>
    <font>
      <sz val="9"/>
      <color indexed="12"/>
      <name val="Arial"/>
      <family val="2"/>
    </font>
    <font>
      <sz val="10"/>
      <name val="Arial"/>
      <family val="2"/>
    </font>
    <font>
      <b/>
      <u/>
      <sz val="9"/>
      <name val="Arial"/>
      <family val="2"/>
    </font>
    <font>
      <sz val="8"/>
      <color indexed="14"/>
      <name val="Arial"/>
      <family val="2"/>
    </font>
    <font>
      <b/>
      <sz val="9"/>
      <color indexed="48"/>
      <name val="Arial"/>
      <family val="2"/>
    </font>
    <font>
      <sz val="8"/>
      <color indexed="14"/>
      <name val="Arial"/>
      <family val="2"/>
    </font>
    <font>
      <b/>
      <sz val="7"/>
      <name val="Times New Roman"/>
      <family val="1"/>
    </font>
    <font>
      <vertAlign val="subscript"/>
      <sz val="8"/>
      <name val="Arial"/>
      <family val="2"/>
    </font>
    <font>
      <vertAlign val="subscript"/>
      <sz val="9"/>
      <name val="Arial"/>
      <family val="2"/>
    </font>
    <font>
      <b/>
      <sz val="8"/>
      <color indexed="10"/>
      <name val="Arial"/>
      <family val="2"/>
    </font>
    <font>
      <b/>
      <sz val="9"/>
      <color indexed="10"/>
      <name val="Arial"/>
      <family val="2"/>
    </font>
    <font>
      <u/>
      <sz val="8"/>
      <name val="Arial"/>
      <family val="2"/>
    </font>
    <font>
      <sz val="9"/>
      <name val="Calibri"/>
      <family val="2"/>
    </font>
    <font>
      <b/>
      <vertAlign val="superscript"/>
      <sz val="9"/>
      <name val="Arial"/>
      <family val="2"/>
    </font>
    <font>
      <sz val="9"/>
      <name val="Arial"/>
      <family val="2"/>
    </font>
    <font>
      <i/>
      <sz val="9"/>
      <name val="Arial"/>
      <family val="2"/>
    </font>
    <font>
      <b/>
      <sz val="9"/>
      <color indexed="12"/>
      <name val="Arial"/>
      <family val="2"/>
    </font>
    <font>
      <sz val="11"/>
      <name val="Arial"/>
      <family val="2"/>
    </font>
    <font>
      <b/>
      <sz val="9"/>
      <color indexed="63"/>
      <name val="Arial"/>
      <family val="2"/>
    </font>
    <font>
      <sz val="9"/>
      <color indexed="63"/>
      <name val="Arial"/>
      <family val="2"/>
    </font>
    <font>
      <b/>
      <sz val="9"/>
      <color rgb="FFFF0000"/>
      <name val="Arial"/>
      <family val="2"/>
    </font>
    <font>
      <sz val="9"/>
      <color rgb="FFFF0000"/>
      <name val="Arial"/>
      <family val="2"/>
    </font>
    <font>
      <sz val="9"/>
      <color rgb="FF00B0F0"/>
      <name val="Arial"/>
      <family val="2"/>
    </font>
    <font>
      <b/>
      <sz val="9"/>
      <color rgb="FF00B0F0"/>
      <name val="Arial"/>
      <family val="2"/>
    </font>
    <font>
      <sz val="9"/>
      <color theme="9" tint="-0.499984740745262"/>
      <name val="Arial"/>
      <family val="2"/>
    </font>
    <font>
      <b/>
      <sz val="9"/>
      <color theme="9" tint="-0.499984740745262"/>
      <name val="Arial"/>
      <family val="2"/>
    </font>
    <font>
      <b/>
      <sz val="9"/>
      <color rgb="FF7030A0"/>
      <name val="Arial"/>
      <family val="2"/>
    </font>
    <font>
      <b/>
      <sz val="9"/>
      <color theme="3" tint="-0.249977111117893"/>
      <name val="Arial"/>
      <family val="2"/>
    </font>
    <font>
      <sz val="8"/>
      <color rgb="FF0070C0"/>
      <name val="Arial"/>
      <family val="2"/>
    </font>
  </fonts>
  <fills count="19">
    <fill>
      <patternFill patternType="none"/>
    </fill>
    <fill>
      <patternFill patternType="gray125"/>
    </fill>
    <fill>
      <patternFill patternType="solid">
        <fgColor indexed="51"/>
        <bgColor indexed="64"/>
      </patternFill>
    </fill>
    <fill>
      <patternFill patternType="solid">
        <fgColor indexed="13"/>
        <bgColor indexed="64"/>
      </patternFill>
    </fill>
    <fill>
      <patternFill patternType="solid">
        <fgColor indexed="15"/>
        <bgColor indexed="64"/>
      </patternFill>
    </fill>
    <fill>
      <patternFill patternType="solid">
        <fgColor indexed="11"/>
        <bgColor indexed="64"/>
      </patternFill>
    </fill>
    <fill>
      <patternFill patternType="solid">
        <fgColor indexed="9"/>
        <bgColor indexed="64"/>
      </patternFill>
    </fill>
    <fill>
      <patternFill patternType="solid">
        <fgColor indexed="5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66FFFF"/>
        <bgColor indexed="64"/>
      </patternFill>
    </fill>
    <fill>
      <patternFill patternType="solid">
        <fgColor theme="2"/>
        <bgColor indexed="64"/>
      </patternFill>
    </fill>
    <fill>
      <patternFill patternType="solid">
        <fgColor rgb="FFD60093"/>
        <bgColor indexed="64"/>
      </patternFill>
    </fill>
    <fill>
      <patternFill patternType="solid">
        <fgColor theme="1"/>
        <bgColor indexed="64"/>
      </patternFill>
    </fill>
    <fill>
      <patternFill patternType="solid">
        <fgColor theme="6" tint="0.59999389629810485"/>
        <bgColor indexed="64"/>
      </patternFill>
    </fill>
    <fill>
      <patternFill patternType="solid">
        <fgColor rgb="FFFF3399"/>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2" tint="-9.9978637043366805E-2"/>
        <bgColor indexed="64"/>
      </patternFill>
    </fill>
  </fills>
  <borders count="30">
    <border>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top/>
      <bottom style="medium">
        <color indexed="64"/>
      </bottom>
      <diagonal/>
    </border>
    <border>
      <left/>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theme="0"/>
      </left>
      <right/>
      <top style="thin">
        <color theme="0"/>
      </top>
      <bottom/>
      <diagonal/>
    </border>
    <border>
      <left/>
      <right/>
      <top style="thin">
        <color theme="0"/>
      </top>
      <bottom/>
      <diagonal/>
    </border>
    <border>
      <left style="thin">
        <color indexed="64"/>
      </left>
      <right style="thin">
        <color theme="0"/>
      </right>
      <top style="thin">
        <color theme="0"/>
      </top>
      <bottom/>
      <diagonal/>
    </border>
    <border>
      <left style="thin">
        <color theme="0"/>
      </left>
      <right/>
      <top/>
      <bottom style="thin">
        <color theme="0"/>
      </bottom>
      <diagonal/>
    </border>
    <border>
      <left/>
      <right/>
      <top/>
      <bottom style="thin">
        <color theme="0"/>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0" fontId="4" fillId="0" borderId="0" applyNumberFormat="0" applyFill="0" applyBorder="0" applyAlignment="0" applyProtection="0">
      <alignment vertical="top"/>
      <protection locked="0"/>
    </xf>
    <xf numFmtId="9" fontId="1" fillId="0" borderId="0" applyFont="0" applyFill="0" applyBorder="0" applyAlignment="0" applyProtection="0"/>
  </cellStyleXfs>
  <cellXfs count="540">
    <xf numFmtId="0" fontId="0" fillId="0" borderId="0" xfId="0"/>
    <xf numFmtId="0" fontId="2" fillId="0" borderId="0" xfId="0" applyFont="1"/>
    <xf numFmtId="164" fontId="0" fillId="0" borderId="0" xfId="2" applyNumberFormat="1" applyFont="1"/>
    <xf numFmtId="0" fontId="3" fillId="0" borderId="0" xfId="0" applyFont="1"/>
    <xf numFmtId="167" fontId="0" fillId="0" borderId="0" xfId="0" applyNumberFormat="1"/>
    <xf numFmtId="9" fontId="0" fillId="0" borderId="0" xfId="0" applyNumberFormat="1"/>
    <xf numFmtId="9" fontId="0" fillId="0" borderId="0" xfId="4" applyFont="1"/>
    <xf numFmtId="2" fontId="0" fillId="0" borderId="0" xfId="0" applyNumberFormat="1"/>
    <xf numFmtId="168" fontId="0" fillId="0" borderId="0" xfId="0" applyNumberFormat="1"/>
    <xf numFmtId="0" fontId="5" fillId="0" borderId="0" xfId="0" applyFont="1"/>
    <xf numFmtId="168" fontId="5" fillId="0" borderId="0" xfId="0" applyNumberFormat="1" applyFont="1"/>
    <xf numFmtId="0" fontId="0" fillId="0" borderId="0" xfId="0" applyAlignment="1">
      <alignment horizontal="left" indent="1"/>
    </xf>
    <xf numFmtId="9" fontId="5" fillId="0" borderId="0" xfId="4" applyFont="1"/>
    <xf numFmtId="0" fontId="7" fillId="0" borderId="0" xfId="0" applyFont="1" applyAlignment="1">
      <alignment horizontal="right"/>
    </xf>
    <xf numFmtId="0" fontId="7" fillId="0" borderId="0" xfId="0" applyFont="1"/>
    <xf numFmtId="0" fontId="1" fillId="0" borderId="0" xfId="0" applyFont="1"/>
    <xf numFmtId="169" fontId="0" fillId="0" borderId="0" xfId="4" applyNumberFormat="1" applyFont="1"/>
    <xf numFmtId="169" fontId="0" fillId="0" borderId="0" xfId="0" applyNumberFormat="1"/>
    <xf numFmtId="164" fontId="0" fillId="0" borderId="0" xfId="0" applyNumberFormat="1"/>
    <xf numFmtId="167" fontId="6" fillId="0" borderId="0" xfId="1" applyNumberFormat="1" applyFont="1"/>
    <xf numFmtId="165" fontId="6" fillId="0" borderId="0" xfId="1" applyNumberFormat="1" applyFont="1"/>
    <xf numFmtId="170" fontId="0" fillId="0" borderId="0" xfId="0" applyNumberFormat="1"/>
    <xf numFmtId="43" fontId="6" fillId="0" borderId="0" xfId="1" applyNumberFormat="1" applyFont="1"/>
    <xf numFmtId="43" fontId="0" fillId="0" borderId="0" xfId="0" applyNumberFormat="1"/>
    <xf numFmtId="165" fontId="0" fillId="0" borderId="0" xfId="1" applyNumberFormat="1" applyFont="1"/>
    <xf numFmtId="166" fontId="0" fillId="0" borderId="0" xfId="0" applyNumberFormat="1"/>
    <xf numFmtId="170" fontId="5" fillId="0" borderId="0" xfId="0" applyNumberFormat="1" applyFont="1"/>
    <xf numFmtId="165" fontId="5" fillId="0" borderId="0" xfId="0" applyNumberFormat="1" applyFont="1"/>
    <xf numFmtId="167" fontId="5" fillId="0" borderId="0" xfId="0" applyNumberFormat="1" applyFont="1"/>
    <xf numFmtId="9" fontId="3" fillId="0" borderId="0" xfId="4" applyFont="1"/>
    <xf numFmtId="0" fontId="0" fillId="0" borderId="1" xfId="0" applyBorder="1"/>
    <xf numFmtId="0" fontId="8" fillId="0" borderId="0" xfId="0" applyFont="1"/>
    <xf numFmtId="43" fontId="5" fillId="0" borderId="0" xfId="0" applyNumberFormat="1" applyFont="1"/>
    <xf numFmtId="44" fontId="0" fillId="0" borderId="0" xfId="0" applyNumberFormat="1"/>
    <xf numFmtId="0" fontId="0" fillId="0" borderId="0" xfId="0" quotePrefix="1"/>
    <xf numFmtId="169" fontId="5" fillId="0" borderId="0" xfId="4" applyNumberFormat="1" applyFont="1"/>
    <xf numFmtId="164" fontId="1" fillId="0" borderId="0" xfId="2" applyNumberFormat="1"/>
    <xf numFmtId="165" fontId="1" fillId="0" borderId="0" xfId="1" applyNumberFormat="1"/>
    <xf numFmtId="9" fontId="1" fillId="0" borderId="0" xfId="4"/>
    <xf numFmtId="169" fontId="1" fillId="0" borderId="0" xfId="4" applyNumberFormat="1"/>
    <xf numFmtId="9" fontId="1" fillId="0" borderId="0" xfId="4" applyFont="1"/>
    <xf numFmtId="169" fontId="1" fillId="0" borderId="0" xfId="4" applyNumberFormat="1" applyFont="1"/>
    <xf numFmtId="0" fontId="6" fillId="0" borderId="0" xfId="0" applyFont="1"/>
    <xf numFmtId="170" fontId="6" fillId="0" borderId="0" xfId="0" applyNumberFormat="1" applyFont="1"/>
    <xf numFmtId="165" fontId="6" fillId="0" borderId="0" xfId="0" applyNumberFormat="1" applyFont="1"/>
    <xf numFmtId="167" fontId="6" fillId="0" borderId="0" xfId="0" applyNumberFormat="1" applyFont="1"/>
    <xf numFmtId="9" fontId="6" fillId="0" borderId="0" xfId="4" applyFont="1"/>
    <xf numFmtId="165" fontId="0" fillId="0" borderId="0" xfId="0" applyNumberFormat="1"/>
    <xf numFmtId="43" fontId="7" fillId="0" borderId="0" xfId="0" applyNumberFormat="1" applyFont="1"/>
    <xf numFmtId="0" fontId="5" fillId="0" borderId="2" xfId="0" applyFont="1" applyBorder="1"/>
    <xf numFmtId="0" fontId="5" fillId="0" borderId="3" xfId="0" applyFont="1" applyBorder="1"/>
    <xf numFmtId="9" fontId="5" fillId="0" borderId="4" xfId="4" applyFont="1" applyBorder="1"/>
    <xf numFmtId="0" fontId="5" fillId="0" borderId="5" xfId="0" applyFont="1" applyBorder="1"/>
    <xf numFmtId="0" fontId="5" fillId="0" borderId="6" xfId="0" applyFont="1" applyBorder="1"/>
    <xf numFmtId="9" fontId="5" fillId="0" borderId="7" xfId="0" applyNumberFormat="1" applyFont="1" applyBorder="1"/>
    <xf numFmtId="10" fontId="0" fillId="0" borderId="0" xfId="0" applyNumberFormat="1"/>
    <xf numFmtId="2" fontId="0" fillId="0" borderId="0" xfId="2" applyNumberFormat="1" applyFont="1"/>
    <xf numFmtId="0" fontId="0" fillId="0" borderId="0" xfId="0" applyAlignment="1">
      <alignment horizontal="center"/>
    </xf>
    <xf numFmtId="0" fontId="11" fillId="0" borderId="0" xfId="0" applyFont="1"/>
    <xf numFmtId="10" fontId="0" fillId="0" borderId="0" xfId="4" applyNumberFormat="1" applyFont="1"/>
    <xf numFmtId="1" fontId="0" fillId="0" borderId="0" xfId="0" applyNumberFormat="1"/>
    <xf numFmtId="164" fontId="13" fillId="0" borderId="0" xfId="2" applyNumberFormat="1" applyFont="1"/>
    <xf numFmtId="0" fontId="14" fillId="0" borderId="0" xfId="0" applyFont="1" applyAlignment="1">
      <alignment horizontal="right"/>
    </xf>
    <xf numFmtId="0" fontId="3" fillId="0" borderId="0" xfId="0" applyFont="1" applyFill="1" applyBorder="1" applyAlignment="1">
      <alignment horizontal="center"/>
    </xf>
    <xf numFmtId="0" fontId="13" fillId="0" borderId="0" xfId="0" applyFont="1"/>
    <xf numFmtId="0" fontId="16" fillId="0" borderId="0" xfId="0" applyFont="1"/>
    <xf numFmtId="9" fontId="16" fillId="0" borderId="0" xfId="0" applyNumberFormat="1" applyFont="1"/>
    <xf numFmtId="169" fontId="16" fillId="0" borderId="0" xfId="0" applyNumberFormat="1" applyFont="1"/>
    <xf numFmtId="2" fontId="7" fillId="0" borderId="0" xfId="0" applyNumberFormat="1" applyFont="1"/>
    <xf numFmtId="0" fontId="0" fillId="0" borderId="0" xfId="0" applyAlignment="1">
      <alignment wrapText="1"/>
    </xf>
    <xf numFmtId="0" fontId="17" fillId="0" borderId="0" xfId="0" applyFont="1"/>
    <xf numFmtId="0" fontId="18" fillId="0" borderId="0" xfId="0" applyFont="1"/>
    <xf numFmtId="0" fontId="7" fillId="0" borderId="2" xfId="0" applyFont="1" applyBorder="1"/>
    <xf numFmtId="0" fontId="5" fillId="0" borderId="4" xfId="0" applyFont="1" applyBorder="1"/>
    <xf numFmtId="0" fontId="19" fillId="0" borderId="0" xfId="0" applyFont="1"/>
    <xf numFmtId="165" fontId="19" fillId="0" borderId="0" xfId="1" applyNumberFormat="1" applyFont="1"/>
    <xf numFmtId="44" fontId="19" fillId="0" borderId="0" xfId="2" applyFont="1"/>
    <xf numFmtId="0" fontId="20" fillId="0" borderId="0" xfId="0" quotePrefix="1" applyFont="1"/>
    <xf numFmtId="1" fontId="3" fillId="0" borderId="0" xfId="0" applyNumberFormat="1" applyFont="1" applyAlignment="1">
      <alignment horizontal="right"/>
    </xf>
    <xf numFmtId="167" fontId="0" fillId="0" borderId="0" xfId="1" applyNumberFormat="1" applyFont="1"/>
    <xf numFmtId="164" fontId="7" fillId="0" borderId="0" xfId="2" applyNumberFormat="1" applyFont="1"/>
    <xf numFmtId="166" fontId="6" fillId="0" borderId="0" xfId="0" applyNumberFormat="1" applyFont="1"/>
    <xf numFmtId="0" fontId="6" fillId="0" borderId="0" xfId="0" applyFont="1" applyAlignment="1">
      <alignment wrapText="1"/>
    </xf>
    <xf numFmtId="0" fontId="11" fillId="0" borderId="0" xfId="0" applyFont="1" applyBorder="1"/>
    <xf numFmtId="0" fontId="0" fillId="0" borderId="0" xfId="0" applyBorder="1"/>
    <xf numFmtId="9" fontId="5" fillId="0" borderId="4" xfId="4" applyNumberFormat="1" applyFont="1" applyBorder="1"/>
    <xf numFmtId="7" fontId="0" fillId="0" borderId="0" xfId="0" applyNumberFormat="1"/>
    <xf numFmtId="0" fontId="5" fillId="0" borderId="0" xfId="0" applyFont="1" applyAlignment="1">
      <alignment wrapText="1"/>
    </xf>
    <xf numFmtId="7" fontId="18" fillId="0" borderId="8" xfId="2" applyNumberFormat="1" applyFont="1" applyBorder="1"/>
    <xf numFmtId="0" fontId="18" fillId="0" borderId="8" xfId="0" applyFont="1" applyBorder="1" applyAlignment="1">
      <alignment horizontal="center" wrapText="1"/>
    </xf>
    <xf numFmtId="9" fontId="18" fillId="0" borderId="8" xfId="4" applyFont="1" applyBorder="1" applyAlignment="1">
      <alignment horizontal="center" wrapText="1"/>
    </xf>
    <xf numFmtId="44" fontId="0" fillId="0" borderId="0" xfId="0" applyNumberFormat="1" applyBorder="1"/>
    <xf numFmtId="0" fontId="18" fillId="0" borderId="2" xfId="0" applyFont="1" applyBorder="1" applyAlignment="1">
      <alignment horizontal="left" indent="1"/>
    </xf>
    <xf numFmtId="0" fontId="18" fillId="0" borderId="5" xfId="0" applyFont="1" applyBorder="1" applyAlignment="1">
      <alignment horizontal="left" indent="1"/>
    </xf>
    <xf numFmtId="168" fontId="19" fillId="0" borderId="0" xfId="0" applyNumberFormat="1" applyFont="1" applyBorder="1"/>
    <xf numFmtId="0" fontId="0" fillId="0" borderId="0" xfId="0" applyAlignment="1"/>
    <xf numFmtId="0" fontId="7" fillId="0" borderId="0" xfId="0" applyFont="1" applyAlignment="1">
      <alignment horizontal="center"/>
    </xf>
    <xf numFmtId="169" fontId="7" fillId="0" borderId="0" xfId="4" applyNumberFormat="1" applyFont="1"/>
    <xf numFmtId="1" fontId="7" fillId="0" borderId="0" xfId="0" applyNumberFormat="1" applyFont="1"/>
    <xf numFmtId="0" fontId="21" fillId="0" borderId="0" xfId="0" applyFont="1"/>
    <xf numFmtId="0" fontId="5" fillId="2" borderId="0" xfId="0" applyFont="1" applyFill="1" applyAlignment="1">
      <alignment horizontal="left" indent="1"/>
    </xf>
    <xf numFmtId="0" fontId="0" fillId="2" borderId="0" xfId="0" applyFill="1"/>
    <xf numFmtId="44" fontId="16" fillId="0" borderId="0" xfId="2" applyFont="1"/>
    <xf numFmtId="169" fontId="24" fillId="0" borderId="0" xfId="0" applyNumberFormat="1" applyFont="1"/>
    <xf numFmtId="1" fontId="5" fillId="0" borderId="0" xfId="0" applyNumberFormat="1" applyFont="1"/>
    <xf numFmtId="165" fontId="5" fillId="0" borderId="0" xfId="1" applyNumberFormat="1" applyFont="1"/>
    <xf numFmtId="2" fontId="6" fillId="0" borderId="0" xfId="0" applyNumberFormat="1" applyFont="1"/>
    <xf numFmtId="0" fontId="18" fillId="0" borderId="0" xfId="0" applyFont="1" applyBorder="1" applyAlignment="1">
      <alignment horizontal="center" wrapText="1"/>
    </xf>
    <xf numFmtId="164" fontId="3" fillId="0" borderId="0" xfId="2" applyNumberFormat="1" applyFont="1"/>
    <xf numFmtId="0" fontId="3" fillId="0" borderId="0" xfId="0" applyFont="1" applyAlignment="1">
      <alignment horizontal="left" indent="2"/>
    </xf>
    <xf numFmtId="0" fontId="3" fillId="0" borderId="0" xfId="0" applyFont="1" applyAlignment="1">
      <alignment horizontal="left" indent="1"/>
    </xf>
    <xf numFmtId="164" fontId="3" fillId="0" borderId="0" xfId="0" applyNumberFormat="1" applyFont="1"/>
    <xf numFmtId="0" fontId="7" fillId="0" borderId="0" xfId="0" applyFont="1" applyAlignment="1">
      <alignment horizontal="right" wrapText="1"/>
    </xf>
    <xf numFmtId="3" fontId="25" fillId="0" borderId="0" xfId="0" applyNumberFormat="1" applyFont="1" applyAlignment="1">
      <alignment horizontal="right" wrapText="1"/>
    </xf>
    <xf numFmtId="0" fontId="0" fillId="0" borderId="0" xfId="0" applyAlignment="1">
      <alignment horizontal="right" wrapText="1"/>
    </xf>
    <xf numFmtId="0" fontId="0" fillId="0" borderId="0" xfId="0" applyAlignment="1">
      <alignment horizontal="left" indent="2"/>
    </xf>
    <xf numFmtId="0" fontId="4" fillId="0" borderId="0" xfId="3" applyAlignment="1" applyProtection="1"/>
    <xf numFmtId="168" fontId="0" fillId="0" borderId="0" xfId="0" applyNumberFormat="1" applyAlignment="1">
      <alignment horizontal="right" indent="1"/>
    </xf>
    <xf numFmtId="169" fontId="3" fillId="0" borderId="0" xfId="4" applyNumberFormat="1" applyFont="1" applyAlignment="1">
      <alignment horizontal="left" indent="2"/>
    </xf>
    <xf numFmtId="0" fontId="1" fillId="0" borderId="0" xfId="0" applyFont="1" applyAlignment="1">
      <alignment horizontal="left" indent="1"/>
    </xf>
    <xf numFmtId="168" fontId="0" fillId="3" borderId="0" xfId="0" applyNumberFormat="1" applyFill="1"/>
    <xf numFmtId="168" fontId="0" fillId="0" borderId="0" xfId="0" applyNumberFormat="1" applyAlignment="1">
      <alignment horizontal="right" indent="2"/>
    </xf>
    <xf numFmtId="169" fontId="7" fillId="0" borderId="8" xfId="4" applyNumberFormat="1" applyFont="1" applyBorder="1" applyAlignment="1">
      <alignment horizontal="center"/>
    </xf>
    <xf numFmtId="0" fontId="3" fillId="0" borderId="0" xfId="0" applyFont="1" applyAlignment="1">
      <alignment horizontal="right"/>
    </xf>
    <xf numFmtId="9" fontId="29" fillId="0" borderId="0" xfId="0" applyNumberFormat="1" applyFont="1"/>
    <xf numFmtId="0" fontId="28" fillId="0" borderId="0" xfId="0" applyFont="1" applyAlignment="1">
      <alignment horizontal="right"/>
    </xf>
    <xf numFmtId="168" fontId="5" fillId="4" borderId="0" xfId="0" applyNumberFormat="1" applyFont="1" applyFill="1"/>
    <xf numFmtId="168" fontId="0" fillId="4" borderId="0" xfId="0" applyNumberFormat="1" applyFill="1" applyAlignment="1">
      <alignment horizontal="right" indent="1"/>
    </xf>
    <xf numFmtId="0" fontId="0" fillId="0" borderId="0" xfId="0" applyBorder="1" applyAlignment="1"/>
    <xf numFmtId="0" fontId="3" fillId="0" borderId="0" xfId="0" applyFont="1" applyBorder="1"/>
    <xf numFmtId="0" fontId="14" fillId="5" borderId="8" xfId="0" applyFont="1" applyFill="1" applyBorder="1" applyAlignment="1">
      <alignment horizontal="right"/>
    </xf>
    <xf numFmtId="0" fontId="14" fillId="0" borderId="1" xfId="0" applyFont="1" applyFill="1" applyBorder="1" applyAlignment="1">
      <alignment horizontal="right"/>
    </xf>
    <xf numFmtId="9" fontId="5" fillId="0" borderId="0" xfId="4" applyFont="1" applyBorder="1"/>
    <xf numFmtId="9" fontId="5" fillId="0" borderId="0" xfId="0" applyNumberFormat="1" applyFont="1" applyBorder="1"/>
    <xf numFmtId="0" fontId="18" fillId="0" borderId="0" xfId="0" applyFont="1" applyBorder="1" applyAlignment="1">
      <alignment horizontal="left" indent="1"/>
    </xf>
    <xf numFmtId="0" fontId="5" fillId="0" borderId="0" xfId="0" applyFont="1" applyBorder="1"/>
    <xf numFmtId="0" fontId="18" fillId="0" borderId="0" xfId="0" applyFont="1" applyBorder="1" applyAlignment="1">
      <alignment horizontal="right"/>
    </xf>
    <xf numFmtId="165" fontId="5" fillId="0" borderId="0" xfId="0" applyNumberFormat="1" applyFont="1" applyBorder="1"/>
    <xf numFmtId="165" fontId="6" fillId="0" borderId="0" xfId="0" applyNumberFormat="1" applyFont="1" applyBorder="1"/>
    <xf numFmtId="0" fontId="5" fillId="3" borderId="0" xfId="0" quotePrefix="1" applyFont="1" applyFill="1" applyAlignment="1">
      <alignment horizontal="right" indent="1"/>
    </xf>
    <xf numFmtId="0" fontId="0" fillId="3" borderId="0" xfId="0" applyFill="1"/>
    <xf numFmtId="168" fontId="0" fillId="3" borderId="0" xfId="0" applyNumberFormat="1" applyFill="1" applyAlignment="1">
      <alignment horizontal="right" indent="2"/>
    </xf>
    <xf numFmtId="169" fontId="7" fillId="0" borderId="0" xfId="4" applyNumberFormat="1" applyFont="1" applyBorder="1" applyAlignment="1">
      <alignment horizontal="center"/>
    </xf>
    <xf numFmtId="169" fontId="3" fillId="0" borderId="0" xfId="0" applyNumberFormat="1" applyFont="1"/>
    <xf numFmtId="168" fontId="6" fillId="0" borderId="0" xfId="0" applyNumberFormat="1" applyFont="1"/>
    <xf numFmtId="1" fontId="0" fillId="5" borderId="9" xfId="0" applyNumberFormat="1" applyFill="1" applyBorder="1"/>
    <xf numFmtId="0" fontId="0" fillId="5" borderId="10" xfId="0" applyFill="1" applyBorder="1"/>
    <xf numFmtId="0" fontId="0" fillId="0" borderId="0" xfId="0" applyBorder="1" applyAlignment="1">
      <alignment vertical="center" wrapText="1"/>
    </xf>
    <xf numFmtId="0" fontId="0" fillId="0" borderId="9" xfId="0" applyBorder="1" applyAlignment="1">
      <alignment horizontal="left" indent="1"/>
    </xf>
    <xf numFmtId="0" fontId="0" fillId="0" borderId="11" xfId="0" applyBorder="1"/>
    <xf numFmtId="2" fontId="0" fillId="0" borderId="11" xfId="0" applyNumberFormat="1" applyBorder="1"/>
    <xf numFmtId="166" fontId="0" fillId="0" borderId="10" xfId="0" applyNumberFormat="1" applyBorder="1" applyAlignment="1">
      <alignment horizontal="right" indent="1"/>
    </xf>
    <xf numFmtId="169" fontId="0" fillId="3" borderId="0" xfId="4" applyNumberFormat="1" applyFont="1" applyFill="1"/>
    <xf numFmtId="169" fontId="0" fillId="4" borderId="0" xfId="4" applyNumberFormat="1" applyFont="1" applyFill="1"/>
    <xf numFmtId="169" fontId="7" fillId="4" borderId="0" xfId="0" applyNumberFormat="1" applyFont="1" applyFill="1"/>
    <xf numFmtId="43" fontId="0" fillId="0" borderId="0" xfId="0" applyNumberFormat="1" applyBorder="1"/>
    <xf numFmtId="169" fontId="6" fillId="0" borderId="0" xfId="4" applyNumberFormat="1" applyFont="1" applyBorder="1" applyAlignment="1">
      <alignment horizontal="center"/>
    </xf>
    <xf numFmtId="0" fontId="0" fillId="0" borderId="9" xfId="0" applyBorder="1"/>
    <xf numFmtId="2" fontId="5" fillId="0" borderId="0" xfId="0" applyNumberFormat="1" applyFont="1"/>
    <xf numFmtId="2" fontId="0" fillId="3" borderId="0" xfId="0" applyNumberFormat="1" applyFill="1"/>
    <xf numFmtId="2" fontId="0" fillId="4" borderId="0" xfId="0" applyNumberFormat="1" applyFill="1"/>
    <xf numFmtId="7" fontId="0" fillId="0" borderId="0" xfId="0" applyNumberFormat="1" applyBorder="1" applyAlignment="1">
      <alignment vertical="center" wrapText="1"/>
    </xf>
    <xf numFmtId="169" fontId="5" fillId="0" borderId="8" xfId="4" applyNumberFormat="1" applyFont="1" applyBorder="1" applyAlignment="1">
      <alignment horizontal="right"/>
    </xf>
    <xf numFmtId="0" fontId="7" fillId="0" borderId="12" xfId="0" applyFont="1" applyBorder="1" applyAlignment="1">
      <alignment horizontal="center"/>
    </xf>
    <xf numFmtId="169" fontId="6" fillId="0" borderId="12" xfId="4" applyNumberFormat="1" applyFont="1" applyBorder="1" applyAlignment="1">
      <alignment horizontal="center"/>
    </xf>
    <xf numFmtId="0" fontId="14" fillId="0" borderId="0" xfId="0" applyFont="1" applyFill="1" applyBorder="1" applyAlignment="1">
      <alignment horizontal="right"/>
    </xf>
    <xf numFmtId="165" fontId="0" fillId="0" borderId="0" xfId="1" applyNumberFormat="1" applyFont="1" applyBorder="1"/>
    <xf numFmtId="165" fontId="3" fillId="0" borderId="0" xfId="1" applyNumberFormat="1" applyFont="1" applyBorder="1"/>
    <xf numFmtId="169" fontId="16" fillId="0" borderId="0" xfId="0" applyNumberFormat="1" applyFont="1" applyBorder="1"/>
    <xf numFmtId="9" fontId="0" fillId="0" borderId="0" xfId="0" applyNumberFormat="1" applyBorder="1"/>
    <xf numFmtId="0" fontId="14" fillId="3" borderId="8" xfId="0" applyFont="1" applyFill="1" applyBorder="1" applyAlignment="1">
      <alignment horizontal="right"/>
    </xf>
    <xf numFmtId="0" fontId="39" fillId="0" borderId="0" xfId="0" applyFont="1"/>
    <xf numFmtId="0" fontId="6" fillId="0" borderId="0" xfId="0" applyFont="1" applyAlignment="1">
      <alignment horizontal="left" indent="1"/>
    </xf>
    <xf numFmtId="0" fontId="0" fillId="0" borderId="0" xfId="0" applyBorder="1" applyAlignment="1">
      <alignment wrapText="1"/>
    </xf>
    <xf numFmtId="167" fontId="6" fillId="0" borderId="0" xfId="0" applyNumberFormat="1" applyFont="1" applyBorder="1"/>
    <xf numFmtId="172" fontId="18" fillId="0" borderId="0" xfId="2" applyNumberFormat="1" applyFont="1" applyBorder="1"/>
    <xf numFmtId="14" fontId="5" fillId="0" borderId="0" xfId="0" applyNumberFormat="1" applyFont="1" applyBorder="1"/>
    <xf numFmtId="0" fontId="5" fillId="0" borderId="0" xfId="0" applyFont="1" applyBorder="1" applyAlignment="1">
      <alignment horizontal="left" vertical="center" wrapText="1" indent="1"/>
    </xf>
    <xf numFmtId="0" fontId="5" fillId="0" borderId="0" xfId="0" applyFont="1" applyBorder="1" applyAlignment="1">
      <alignment wrapText="1"/>
    </xf>
    <xf numFmtId="167" fontId="5" fillId="0" borderId="0" xfId="0" applyNumberFormat="1" applyFont="1" applyBorder="1"/>
    <xf numFmtId="168" fontId="0" fillId="0" borderId="0" xfId="0" applyNumberFormat="1" applyBorder="1"/>
    <xf numFmtId="0" fontId="0" fillId="0" borderId="0" xfId="0" applyAlignment="1">
      <alignment vertical="center" wrapText="1"/>
    </xf>
    <xf numFmtId="0" fontId="5" fillId="0" borderId="0" xfId="0" applyFont="1" applyAlignment="1">
      <alignment vertical="center" wrapText="1"/>
    </xf>
    <xf numFmtId="0" fontId="40" fillId="0" borderId="0" xfId="0" applyFont="1" applyAlignment="1">
      <alignment horizontal="left" indent="1"/>
    </xf>
    <xf numFmtId="0" fontId="40" fillId="0" borderId="0" xfId="0" applyFont="1"/>
    <xf numFmtId="168" fontId="40" fillId="0" borderId="0" xfId="0" applyNumberFormat="1" applyFont="1"/>
    <xf numFmtId="168" fontId="40" fillId="8" borderId="0" xfId="0" applyNumberFormat="1" applyFont="1" applyFill="1"/>
    <xf numFmtId="0" fontId="41" fillId="0" borderId="0" xfId="0" applyFont="1" applyAlignment="1">
      <alignment horizontal="left" indent="1"/>
    </xf>
    <xf numFmtId="0" fontId="41" fillId="0" borderId="0" xfId="0" applyFont="1"/>
    <xf numFmtId="168" fontId="41" fillId="0" borderId="0" xfId="0" applyNumberFormat="1" applyFont="1"/>
    <xf numFmtId="168" fontId="39" fillId="0" borderId="0" xfId="0" applyNumberFormat="1" applyFont="1"/>
    <xf numFmtId="0" fontId="42" fillId="0" borderId="0" xfId="0" applyFont="1"/>
    <xf numFmtId="168" fontId="42" fillId="0" borderId="0" xfId="0" applyNumberFormat="1" applyFont="1"/>
    <xf numFmtId="0" fontId="6" fillId="0" borderId="0" xfId="0" applyFont="1" applyAlignment="1">
      <alignment horizontal="left"/>
    </xf>
    <xf numFmtId="0" fontId="3" fillId="0" borderId="0" xfId="0" applyFont="1" applyAlignment="1">
      <alignment horizontal="left"/>
    </xf>
    <xf numFmtId="0" fontId="5" fillId="0" borderId="0" xfId="0" applyFont="1" applyAlignment="1">
      <alignment horizontal="left"/>
    </xf>
    <xf numFmtId="0" fontId="43" fillId="0" borderId="0" xfId="0" applyFont="1" applyAlignment="1">
      <alignment horizontal="left" indent="1"/>
    </xf>
    <xf numFmtId="0" fontId="43" fillId="0" borderId="0" xfId="0" applyFont="1"/>
    <xf numFmtId="168" fontId="43" fillId="0" borderId="0" xfId="0" applyNumberFormat="1" applyFont="1"/>
    <xf numFmtId="0" fontId="44" fillId="0" borderId="0" xfId="0" applyFont="1" applyAlignment="1">
      <alignment horizontal="left"/>
    </xf>
    <xf numFmtId="0" fontId="44" fillId="0" borderId="0" xfId="0" applyFont="1"/>
    <xf numFmtId="168" fontId="44" fillId="0" borderId="0" xfId="0" applyNumberFormat="1" applyFont="1"/>
    <xf numFmtId="169" fontId="6" fillId="0" borderId="8" xfId="4" applyNumberFormat="1" applyFont="1" applyBorder="1" applyAlignment="1">
      <alignment horizontal="center"/>
    </xf>
    <xf numFmtId="0" fontId="14" fillId="0" borderId="0" xfId="0" applyFont="1" applyBorder="1" applyAlignment="1">
      <alignment horizontal="right"/>
    </xf>
    <xf numFmtId="2" fontId="0" fillId="0" borderId="0" xfId="0" applyNumberFormat="1" applyBorder="1"/>
    <xf numFmtId="2" fontId="3" fillId="0" borderId="0" xfId="0" applyNumberFormat="1" applyFont="1" applyBorder="1"/>
    <xf numFmtId="166" fontId="0" fillId="0" borderId="0" xfId="0" applyNumberFormat="1" applyBorder="1"/>
    <xf numFmtId="0" fontId="19" fillId="0" borderId="0" xfId="0" applyFont="1" applyBorder="1"/>
    <xf numFmtId="9" fontId="0" fillId="0" borderId="0" xfId="4" applyFont="1" applyBorder="1"/>
    <xf numFmtId="0" fontId="7" fillId="0" borderId="0" xfId="0" applyFont="1" applyBorder="1"/>
    <xf numFmtId="0" fontId="0" fillId="0" borderId="0" xfId="0" applyBorder="1" applyAlignment="1">
      <alignment horizontal="left" vertical="center" wrapText="1" indent="1"/>
    </xf>
    <xf numFmtId="7" fontId="18" fillId="0" borderId="0" xfId="2" applyNumberFormat="1" applyFont="1" applyBorder="1"/>
    <xf numFmtId="9" fontId="18" fillId="0" borderId="0" xfId="4" applyFont="1" applyBorder="1" applyAlignment="1">
      <alignment horizontal="center" wrapText="1"/>
    </xf>
    <xf numFmtId="0" fontId="0" fillId="0" borderId="3" xfId="0" applyBorder="1"/>
    <xf numFmtId="165" fontId="5" fillId="0" borderId="0" xfId="1" applyNumberFormat="1" applyFont="1" applyBorder="1"/>
    <xf numFmtId="9" fontId="1" fillId="0" borderId="0" xfId="4" applyBorder="1"/>
    <xf numFmtId="168" fontId="7" fillId="0" borderId="0" xfId="0" applyNumberFormat="1" applyFont="1" applyAlignment="1">
      <alignment horizontal="center"/>
    </xf>
    <xf numFmtId="3" fontId="3" fillId="0" borderId="0" xfId="0" applyNumberFormat="1" applyFont="1" applyAlignment="1">
      <alignment horizontal="right" wrapText="1"/>
    </xf>
    <xf numFmtId="166" fontId="3" fillId="0" borderId="0" xfId="0" applyNumberFormat="1" applyFont="1"/>
    <xf numFmtId="0" fontId="7" fillId="0" borderId="0" xfId="0" applyFont="1" applyAlignment="1">
      <alignment horizontal="right" indent="1"/>
    </xf>
    <xf numFmtId="174" fontId="7" fillId="0" borderId="0" xfId="0" applyNumberFormat="1" applyFont="1" applyAlignment="1">
      <alignment horizontal="right" indent="1"/>
    </xf>
    <xf numFmtId="174" fontId="7" fillId="0" borderId="0" xfId="0" applyNumberFormat="1" applyFont="1" applyFill="1" applyAlignment="1">
      <alignment horizontal="right" indent="1"/>
    </xf>
    <xf numFmtId="171" fontId="0" fillId="0" borderId="0" xfId="0" applyNumberFormat="1"/>
    <xf numFmtId="171" fontId="0" fillId="0" borderId="0" xfId="1" applyNumberFormat="1" applyFont="1" applyBorder="1"/>
    <xf numFmtId="0" fontId="6" fillId="0" borderId="11" xfId="0" applyFont="1" applyBorder="1" applyAlignment="1">
      <alignment horizontal="right"/>
    </xf>
    <xf numFmtId="0" fontId="3" fillId="0" borderId="0" xfId="0" applyFont="1" applyFill="1"/>
    <xf numFmtId="0" fontId="0" fillId="0" borderId="0" xfId="0" applyFill="1"/>
    <xf numFmtId="165" fontId="6" fillId="0" borderId="0" xfId="1" applyNumberFormat="1" applyFont="1" applyFill="1"/>
    <xf numFmtId="165" fontId="0" fillId="0" borderId="0" xfId="1" applyNumberFormat="1" applyFont="1" applyFill="1" applyBorder="1"/>
    <xf numFmtId="0" fontId="3" fillId="0" borderId="11" xfId="0" applyFont="1" applyBorder="1" applyAlignment="1">
      <alignment horizontal="right"/>
    </xf>
    <xf numFmtId="169" fontId="22" fillId="0" borderId="0" xfId="0" applyNumberFormat="1" applyFont="1"/>
    <xf numFmtId="168" fontId="22" fillId="0" borderId="0" xfId="0" applyNumberFormat="1" applyFont="1"/>
    <xf numFmtId="1" fontId="5" fillId="0" borderId="0" xfId="0" applyNumberFormat="1" applyFont="1" applyBorder="1"/>
    <xf numFmtId="0" fontId="13" fillId="0" borderId="0" xfId="0" applyFont="1" applyBorder="1"/>
    <xf numFmtId="0" fontId="15" fillId="0" borderId="0" xfId="0" applyFont="1"/>
    <xf numFmtId="9" fontId="22" fillId="0" borderId="0" xfId="0" applyNumberFormat="1" applyFont="1"/>
    <xf numFmtId="7" fontId="6" fillId="0" borderId="0" xfId="2" applyNumberFormat="1" applyFont="1"/>
    <xf numFmtId="7" fontId="6" fillId="6" borderId="0" xfId="2" applyNumberFormat="1" applyFont="1" applyFill="1" applyBorder="1" applyAlignment="1"/>
    <xf numFmtId="9" fontId="22" fillId="0" borderId="0" xfId="0" applyNumberFormat="1" applyFont="1" applyBorder="1" applyAlignment="1">
      <alignment horizontal="left" vertical="center" indent="1"/>
    </xf>
    <xf numFmtId="0" fontId="0" fillId="0" borderId="0" xfId="0" applyAlignment="1">
      <alignment horizontal="left" vertical="center" wrapText="1" indent="1"/>
    </xf>
    <xf numFmtId="9" fontId="22" fillId="0" borderId="0" xfId="0" applyNumberFormat="1" applyFont="1" applyBorder="1" applyAlignment="1">
      <alignment horizontal="left" vertical="center" wrapText="1" indent="1"/>
    </xf>
    <xf numFmtId="0" fontId="14" fillId="0" borderId="3" xfId="0" applyFont="1" applyBorder="1" applyAlignment="1">
      <alignment horizontal="right"/>
    </xf>
    <xf numFmtId="0" fontId="14" fillId="3" borderId="12" xfId="0" applyFont="1" applyFill="1" applyBorder="1" applyAlignment="1">
      <alignment horizontal="right"/>
    </xf>
    <xf numFmtId="171" fontId="0" fillId="0" borderId="0" xfId="0" applyNumberFormat="1" applyBorder="1"/>
    <xf numFmtId="10" fontId="3" fillId="0" borderId="8" xfId="4" applyNumberFormat="1" applyFont="1" applyBorder="1" applyAlignment="1">
      <alignment horizontal="left" indent="1"/>
    </xf>
    <xf numFmtId="166" fontId="3" fillId="0" borderId="0" xfId="0" applyNumberFormat="1" applyFont="1" applyBorder="1"/>
    <xf numFmtId="43" fontId="5" fillId="0" borderId="0" xfId="0" applyNumberFormat="1" applyFont="1" applyBorder="1"/>
    <xf numFmtId="167" fontId="0" fillId="0" borderId="0" xfId="1" applyNumberFormat="1" applyFont="1" applyBorder="1"/>
    <xf numFmtId="0" fontId="16" fillId="0" borderId="0" xfId="0" applyFont="1" applyBorder="1"/>
    <xf numFmtId="9" fontId="1" fillId="0" borderId="0" xfId="4" applyFont="1" applyBorder="1"/>
    <xf numFmtId="169" fontId="1" fillId="0" borderId="0" xfId="4" applyNumberFormat="1" applyFont="1" applyBorder="1"/>
    <xf numFmtId="169" fontId="1" fillId="0" borderId="0" xfId="4" applyNumberFormat="1" applyBorder="1"/>
    <xf numFmtId="0" fontId="7" fillId="0" borderId="0" xfId="0" applyFont="1" applyBorder="1" applyAlignment="1">
      <alignment horizontal="right"/>
    </xf>
    <xf numFmtId="165" fontId="0" fillId="0" borderId="0" xfId="0" applyNumberFormat="1" applyBorder="1"/>
    <xf numFmtId="43" fontId="7" fillId="0" borderId="0" xfId="0" applyNumberFormat="1" applyFont="1" applyBorder="1"/>
    <xf numFmtId="2" fontId="7" fillId="0" borderId="0" xfId="0" applyNumberFormat="1" applyFont="1" applyBorder="1"/>
    <xf numFmtId="43" fontId="5" fillId="0" borderId="0" xfId="1" applyNumberFormat="1" applyFont="1"/>
    <xf numFmtId="169" fontId="6" fillId="0" borderId="0" xfId="0" applyNumberFormat="1" applyFont="1" applyBorder="1"/>
    <xf numFmtId="9" fontId="3" fillId="0" borderId="0" xfId="0" applyNumberFormat="1" applyFont="1" applyBorder="1" applyAlignment="1">
      <alignment horizontal="left" vertical="center" indent="1"/>
    </xf>
    <xf numFmtId="0" fontId="6" fillId="0" borderId="0" xfId="0" applyFont="1" applyAlignment="1">
      <alignment horizontal="left" vertical="center" wrapText="1" indent="1"/>
    </xf>
    <xf numFmtId="9" fontId="6" fillId="0" borderId="0" xfId="0" applyNumberFormat="1" applyFont="1" applyBorder="1"/>
    <xf numFmtId="7" fontId="16" fillId="0" borderId="0" xfId="2" applyNumberFormat="1" applyFont="1"/>
    <xf numFmtId="0" fontId="3" fillId="0" borderId="0" xfId="0" applyFont="1" applyBorder="1" applyAlignment="1">
      <alignment horizontal="left" vertical="center" wrapText="1" indent="1"/>
    </xf>
    <xf numFmtId="167" fontId="7" fillId="0" borderId="0" xfId="1" applyNumberFormat="1" applyFont="1" applyBorder="1" applyAlignment="1">
      <alignment horizontal="right"/>
    </xf>
    <xf numFmtId="0" fontId="7" fillId="0" borderId="0" xfId="0" applyFont="1" applyAlignment="1">
      <alignment horizontal="left"/>
    </xf>
    <xf numFmtId="8" fontId="0" fillId="0" borderId="0" xfId="0" applyNumberFormat="1"/>
    <xf numFmtId="0" fontId="0" fillId="0" borderId="0" xfId="0" applyAlignment="1">
      <alignment horizontal="right" vertical="center" wrapText="1" indent="1"/>
    </xf>
    <xf numFmtId="0" fontId="5" fillId="0" borderId="0" xfId="0" applyFont="1" applyAlignment="1">
      <alignment horizontal="right"/>
    </xf>
    <xf numFmtId="0" fontId="7" fillId="0" borderId="0" xfId="0" applyFont="1" applyAlignment="1">
      <alignment horizontal="left" vertical="center" wrapText="1" indent="1"/>
    </xf>
    <xf numFmtId="165" fontId="33" fillId="9" borderId="8" xfId="1" applyNumberFormat="1" applyFont="1" applyFill="1" applyBorder="1"/>
    <xf numFmtId="0" fontId="0" fillId="9" borderId="8" xfId="0" applyFill="1" applyBorder="1"/>
    <xf numFmtId="165" fontId="31" fillId="9" borderId="10" xfId="1" applyNumberFormat="1" applyFont="1" applyFill="1" applyBorder="1"/>
    <xf numFmtId="165" fontId="31" fillId="9" borderId="7" xfId="1" applyNumberFormat="1" applyFont="1" applyFill="1" applyBorder="1"/>
    <xf numFmtId="43" fontId="33" fillId="9" borderId="8" xfId="1" applyNumberFormat="1" applyFont="1" applyFill="1" applyBorder="1"/>
    <xf numFmtId="176" fontId="23" fillId="0" borderId="8" xfId="2" applyNumberFormat="1" applyFont="1" applyBorder="1"/>
    <xf numFmtId="176" fontId="23" fillId="0" borderId="0" xfId="2" applyNumberFormat="1" applyFont="1" applyBorder="1"/>
    <xf numFmtId="0" fontId="6" fillId="0" borderId="0" xfId="0" applyFont="1" applyAlignment="1">
      <alignment horizontal="right"/>
    </xf>
    <xf numFmtId="0" fontId="0" fillId="0" borderId="0" xfId="0" applyBorder="1" applyAlignment="1">
      <alignment horizontal="right" vertical="center" indent="1"/>
    </xf>
    <xf numFmtId="0" fontId="18" fillId="0" borderId="0" xfId="0" applyFont="1" applyAlignment="1">
      <alignment vertical="center"/>
    </xf>
    <xf numFmtId="0" fontId="6" fillId="0" borderId="0" xfId="0" applyFont="1" applyAlignment="1">
      <alignment vertical="center"/>
    </xf>
    <xf numFmtId="0" fontId="3" fillId="0" borderId="0" xfId="0" applyFont="1" applyBorder="1" applyAlignment="1">
      <alignment horizontal="left" indent="1"/>
    </xf>
    <xf numFmtId="0" fontId="0" fillId="0" borderId="0" xfId="0" applyBorder="1" applyAlignment="1">
      <alignment horizontal="left" indent="1"/>
    </xf>
    <xf numFmtId="5" fontId="0" fillId="0" borderId="0" xfId="0" applyNumberFormat="1" applyBorder="1" applyAlignment="1">
      <alignment vertical="center" wrapText="1"/>
    </xf>
    <xf numFmtId="37" fontId="0" fillId="0" borderId="0" xfId="0" applyNumberFormat="1" applyBorder="1" applyAlignment="1">
      <alignment vertical="center" wrapText="1"/>
    </xf>
    <xf numFmtId="175" fontId="0" fillId="0" borderId="0" xfId="0" applyNumberFormat="1" applyBorder="1" applyAlignment="1">
      <alignment vertical="center" wrapText="1"/>
    </xf>
    <xf numFmtId="5" fontId="0" fillId="0" borderId="0" xfId="0" applyNumberFormat="1" applyFill="1" applyBorder="1" applyAlignment="1">
      <alignment vertical="center" wrapText="1"/>
    </xf>
    <xf numFmtId="178" fontId="0" fillId="0" borderId="0" xfId="0" applyNumberFormat="1" applyBorder="1" applyAlignment="1">
      <alignment vertical="center" wrapText="1"/>
    </xf>
    <xf numFmtId="0" fontId="0" fillId="0" borderId="0" xfId="0" applyBorder="1" applyAlignment="1">
      <alignment vertical="center"/>
    </xf>
    <xf numFmtId="174" fontId="0" fillId="0" borderId="0" xfId="0" applyNumberFormat="1"/>
    <xf numFmtId="174" fontId="0" fillId="0" borderId="0" xfId="0" applyNumberFormat="1" applyFill="1"/>
    <xf numFmtId="3" fontId="0" fillId="0" borderId="0" xfId="0" applyNumberFormat="1"/>
    <xf numFmtId="0" fontId="0" fillId="0" borderId="0" xfId="0" applyFill="1" applyBorder="1" applyAlignment="1"/>
    <xf numFmtId="0" fontId="0" fillId="0" borderId="13" xfId="0" applyFill="1" applyBorder="1" applyAlignment="1"/>
    <xf numFmtId="0" fontId="34" fillId="0" borderId="14" xfId="0" applyFont="1" applyFill="1" applyBorder="1" applyAlignment="1">
      <alignment horizontal="center"/>
    </xf>
    <xf numFmtId="0" fontId="34" fillId="0" borderId="14" xfId="0" applyFont="1" applyFill="1" applyBorder="1" applyAlignment="1">
      <alignment horizontal="centerContinuous"/>
    </xf>
    <xf numFmtId="5" fontId="5" fillId="0" borderId="0" xfId="2" applyNumberFormat="1" applyFont="1"/>
    <xf numFmtId="169" fontId="0" fillId="0" borderId="0" xfId="4" applyNumberFormat="1" applyFont="1" applyBorder="1" applyAlignment="1">
      <alignment vertical="center" wrapText="1"/>
    </xf>
    <xf numFmtId="169" fontId="0" fillId="0" borderId="0" xfId="4" applyNumberFormat="1" applyFont="1" applyBorder="1"/>
    <xf numFmtId="0" fontId="3" fillId="0" borderId="0" xfId="0" applyFont="1" applyAlignment="1">
      <alignment horizontal="left" vertical="center" wrapText="1" indent="1"/>
    </xf>
    <xf numFmtId="168" fontId="15" fillId="0" borderId="9" xfId="0" applyNumberFormat="1" applyFont="1" applyBorder="1"/>
    <xf numFmtId="168" fontId="15" fillId="0" borderId="10" xfId="0" applyNumberFormat="1" applyFont="1" applyBorder="1" applyAlignment="1">
      <alignment horizontal="left" indent="1"/>
    </xf>
    <xf numFmtId="0" fontId="5" fillId="0" borderId="0" xfId="0" applyFont="1" applyAlignment="1">
      <alignment horizontal="left" indent="1"/>
    </xf>
    <xf numFmtId="9" fontId="18" fillId="0" borderId="0" xfId="2" applyNumberFormat="1" applyFont="1" applyBorder="1"/>
    <xf numFmtId="172" fontId="18" fillId="0" borderId="15" xfId="2" applyNumberFormat="1" applyFont="1" applyBorder="1" applyAlignment="1">
      <alignment horizontal="center"/>
    </xf>
    <xf numFmtId="0" fontId="7" fillId="0" borderId="12" xfId="0" applyFont="1" applyBorder="1" applyAlignment="1">
      <alignment horizontal="center" wrapText="1"/>
    </xf>
    <xf numFmtId="172" fontId="18" fillId="0" borderId="8" xfId="2" applyNumberFormat="1" applyFont="1" applyBorder="1" applyAlignment="1">
      <alignment horizontal="right" indent="1"/>
    </xf>
    <xf numFmtId="179" fontId="0" fillId="0" borderId="0" xfId="0" applyNumberFormat="1"/>
    <xf numFmtId="177" fontId="0" fillId="0" borderId="0" xfId="0" applyNumberFormat="1" applyBorder="1" applyAlignment="1">
      <alignment vertical="center" wrapText="1"/>
    </xf>
    <xf numFmtId="9" fontId="0" fillId="0" borderId="0" xfId="4" applyNumberFormat="1" applyFont="1" applyBorder="1" applyAlignment="1">
      <alignment vertical="center" wrapText="1"/>
    </xf>
    <xf numFmtId="169" fontId="5" fillId="10" borderId="8" xfId="4" applyNumberFormat="1" applyFont="1" applyFill="1" applyBorder="1"/>
    <xf numFmtId="10" fontId="6" fillId="0" borderId="0" xfId="0" applyNumberFormat="1" applyFont="1"/>
    <xf numFmtId="168" fontId="15" fillId="0" borderId="10" xfId="0" applyNumberFormat="1" applyFont="1" applyBorder="1" applyAlignment="1">
      <alignment horizontal="center"/>
    </xf>
    <xf numFmtId="0" fontId="7" fillId="0" borderId="2" xfId="0" applyFont="1" applyBorder="1" applyAlignment="1">
      <alignment horizontal="right"/>
    </xf>
    <xf numFmtId="0" fontId="7" fillId="0" borderId="4" xfId="0" applyFont="1" applyBorder="1" applyAlignment="1">
      <alignment horizontal="right"/>
    </xf>
    <xf numFmtId="167" fontId="0" fillId="0" borderId="16" xfId="0" applyNumberFormat="1" applyBorder="1"/>
    <xf numFmtId="167" fontId="0" fillId="0" borderId="1" xfId="0" applyNumberFormat="1" applyBorder="1"/>
    <xf numFmtId="167" fontId="5" fillId="0" borderId="5" xfId="0" applyNumberFormat="1" applyFont="1" applyBorder="1"/>
    <xf numFmtId="167" fontId="5" fillId="0" borderId="7" xfId="0" applyNumberFormat="1" applyFont="1" applyBorder="1"/>
    <xf numFmtId="0" fontId="0" fillId="11" borderId="2" xfId="0" applyFill="1" applyBorder="1"/>
    <xf numFmtId="0" fontId="0" fillId="11" borderId="3" xfId="0" applyFill="1" applyBorder="1"/>
    <xf numFmtId="9" fontId="0" fillId="11" borderId="3" xfId="0" applyNumberFormat="1" applyFill="1" applyBorder="1"/>
    <xf numFmtId="0" fontId="3" fillId="11" borderId="3" xfId="0" applyFont="1" applyFill="1" applyBorder="1" applyAlignment="1">
      <alignment horizontal="right"/>
    </xf>
    <xf numFmtId="0" fontId="3" fillId="11" borderId="4" xfId="0" applyFont="1" applyFill="1" applyBorder="1" applyAlignment="1">
      <alignment horizontal="right"/>
    </xf>
    <xf numFmtId="0" fontId="6" fillId="11" borderId="16" xfId="0" applyFont="1" applyFill="1" applyBorder="1"/>
    <xf numFmtId="0" fontId="0" fillId="11" borderId="0" xfId="0" applyFill="1" applyBorder="1"/>
    <xf numFmtId="9" fontId="0" fillId="11" borderId="0" xfId="0" applyNumberFormat="1" applyFill="1" applyBorder="1"/>
    <xf numFmtId="0" fontId="0" fillId="11" borderId="1" xfId="0" applyFill="1" applyBorder="1"/>
    <xf numFmtId="0" fontId="6" fillId="11" borderId="5" xfId="0" applyFont="1" applyFill="1" applyBorder="1"/>
    <xf numFmtId="0" fontId="0" fillId="11" borderId="6" xfId="0" applyFill="1" applyBorder="1"/>
    <xf numFmtId="10" fontId="0" fillId="11" borderId="6" xfId="0" applyNumberFormat="1" applyFill="1" applyBorder="1"/>
    <xf numFmtId="8" fontId="0" fillId="11" borderId="6" xfId="0" applyNumberFormat="1" applyFill="1" applyBorder="1"/>
    <xf numFmtId="8" fontId="0" fillId="11" borderId="7" xfId="0" applyNumberFormat="1" applyFill="1" applyBorder="1"/>
    <xf numFmtId="43" fontId="6" fillId="0" borderId="0" xfId="0" applyNumberFormat="1" applyFont="1" applyBorder="1"/>
    <xf numFmtId="0" fontId="5" fillId="12" borderId="25" xfId="0" applyFont="1" applyFill="1" applyBorder="1"/>
    <xf numFmtId="0" fontId="0" fillId="12" borderId="26" xfId="0" applyFill="1" applyBorder="1"/>
    <xf numFmtId="169" fontId="18" fillId="13" borderId="27" xfId="4" applyNumberFormat="1" applyFont="1" applyFill="1" applyBorder="1" applyAlignment="1">
      <alignment horizontal="right" indent="1"/>
    </xf>
    <xf numFmtId="0" fontId="5" fillId="12" borderId="28" xfId="0" applyFont="1" applyFill="1" applyBorder="1"/>
    <xf numFmtId="0" fontId="0" fillId="12" borderId="29" xfId="0" applyFill="1" applyBorder="1"/>
    <xf numFmtId="0" fontId="6" fillId="12" borderId="29" xfId="0" applyFont="1" applyFill="1" applyBorder="1"/>
    <xf numFmtId="167" fontId="6" fillId="0" borderId="0" xfId="0" applyNumberFormat="1" applyFont="1" applyFill="1" applyBorder="1"/>
    <xf numFmtId="0" fontId="14" fillId="3" borderId="9" xfId="0" applyFont="1" applyFill="1" applyBorder="1" applyAlignment="1">
      <alignment horizontal="right"/>
    </xf>
    <xf numFmtId="172" fontId="7" fillId="0" borderId="0" xfId="0" applyNumberFormat="1" applyFont="1"/>
    <xf numFmtId="169" fontId="0" fillId="0" borderId="0" xfId="0" applyNumberFormat="1" applyBorder="1" applyAlignment="1">
      <alignment horizontal="right" indent="1"/>
    </xf>
    <xf numFmtId="9" fontId="0" fillId="0" borderId="0" xfId="0" applyNumberFormat="1" applyBorder="1" applyAlignment="1">
      <alignment horizontal="right" indent="1"/>
    </xf>
    <xf numFmtId="14" fontId="5" fillId="0" borderId="0" xfId="0" applyNumberFormat="1" applyFont="1"/>
    <xf numFmtId="14" fontId="7" fillId="0" borderId="0" xfId="0" applyNumberFormat="1" applyFont="1" applyBorder="1"/>
    <xf numFmtId="165" fontId="3" fillId="9" borderId="8" xfId="1" applyNumberFormat="1" applyFont="1" applyFill="1" applyBorder="1" applyAlignment="1">
      <alignment horizontal="right"/>
    </xf>
    <xf numFmtId="43" fontId="0" fillId="9" borderId="11" xfId="0" applyNumberFormat="1" applyFill="1" applyBorder="1"/>
    <xf numFmtId="43" fontId="0" fillId="9" borderId="6" xfId="0" applyNumberFormat="1" applyFill="1" applyBorder="1"/>
    <xf numFmtId="171" fontId="6" fillId="0" borderId="0" xfId="0" applyNumberFormat="1" applyFont="1" applyFill="1" applyBorder="1"/>
    <xf numFmtId="14" fontId="7" fillId="0" borderId="0" xfId="0" applyNumberFormat="1" applyFont="1"/>
    <xf numFmtId="0" fontId="3" fillId="0" borderId="0" xfId="0" applyFont="1" applyBorder="1" applyAlignment="1">
      <alignment vertical="center" wrapText="1"/>
    </xf>
    <xf numFmtId="1" fontId="35" fillId="8" borderId="16" xfId="0" applyNumberFormat="1" applyFont="1" applyFill="1" applyBorder="1" applyAlignment="1">
      <alignment horizontal="center"/>
    </xf>
    <xf numFmtId="0" fontId="6" fillId="8" borderId="0" xfId="0" applyFont="1" applyFill="1" applyBorder="1" applyAlignment="1">
      <alignment horizontal="left"/>
    </xf>
    <xf numFmtId="0" fontId="6" fillId="8" borderId="0" xfId="0" applyFont="1" applyFill="1" applyBorder="1" applyAlignment="1">
      <alignment horizontal="left" vertical="center"/>
    </xf>
    <xf numFmtId="9" fontId="5" fillId="0" borderId="0" xfId="0" applyNumberFormat="1" applyFont="1"/>
    <xf numFmtId="0" fontId="6" fillId="8" borderId="0" xfId="0" applyFont="1" applyFill="1" applyBorder="1" applyAlignment="1"/>
    <xf numFmtId="0" fontId="5" fillId="8" borderId="0" xfId="0" applyFont="1" applyFill="1" applyBorder="1" applyAlignment="1">
      <alignment horizontal="left"/>
    </xf>
    <xf numFmtId="0" fontId="5" fillId="8" borderId="0" xfId="0" applyFont="1" applyFill="1" applyBorder="1"/>
    <xf numFmtId="0" fontId="5" fillId="8" borderId="1" xfId="0" applyFont="1" applyFill="1" applyBorder="1"/>
    <xf numFmtId="0" fontId="5" fillId="8" borderId="0" xfId="0" applyFont="1" applyFill="1" applyBorder="1" applyAlignment="1">
      <alignment horizontal="left" vertical="center"/>
    </xf>
    <xf numFmtId="0" fontId="5" fillId="8" borderId="16" xfId="0" applyFont="1" applyFill="1" applyBorder="1"/>
    <xf numFmtId="0" fontId="6" fillId="8" borderId="0" xfId="0" applyFont="1" applyFill="1" applyBorder="1"/>
    <xf numFmtId="0" fontId="6" fillId="8" borderId="1" xfId="0" applyFont="1" applyFill="1" applyBorder="1"/>
    <xf numFmtId="0" fontId="5" fillId="8" borderId="5" xfId="0" applyFont="1" applyFill="1" applyBorder="1"/>
    <xf numFmtId="0" fontId="6" fillId="8" borderId="7" xfId="0" applyFont="1" applyFill="1" applyBorder="1"/>
    <xf numFmtId="0" fontId="6" fillId="8" borderId="6" xfId="0" applyFont="1" applyFill="1" applyBorder="1"/>
    <xf numFmtId="169" fontId="7" fillId="0" borderId="12" xfId="4" applyNumberFormat="1" applyFont="1" applyBorder="1" applyAlignment="1">
      <alignment horizontal="center"/>
    </xf>
    <xf numFmtId="1" fontId="7" fillId="0" borderId="8" xfId="0" applyNumberFormat="1" applyFont="1" applyBorder="1" applyAlignment="1">
      <alignment horizontal="center"/>
    </xf>
    <xf numFmtId="165" fontId="6" fillId="0" borderId="0" xfId="1" applyNumberFormat="1" applyFont="1" applyBorder="1" applyAlignment="1">
      <alignment wrapText="1"/>
    </xf>
    <xf numFmtId="1" fontId="7" fillId="0" borderId="0" xfId="0" applyNumberFormat="1" applyFont="1" applyBorder="1" applyAlignment="1">
      <alignment wrapText="1"/>
    </xf>
    <xf numFmtId="168" fontId="45" fillId="0" borderId="0" xfId="0" applyNumberFormat="1" applyFont="1"/>
    <xf numFmtId="0" fontId="0" fillId="14" borderId="8" xfId="0" applyFill="1" applyBorder="1"/>
    <xf numFmtId="1" fontId="7" fillId="0" borderId="0" xfId="0" applyNumberFormat="1" applyFont="1" applyAlignment="1">
      <alignment horizontal="right"/>
    </xf>
    <xf numFmtId="0" fontId="0" fillId="8" borderId="0" xfId="0" applyFill="1"/>
    <xf numFmtId="0" fontId="5" fillId="0" borderId="25" xfId="0" applyFont="1" applyFill="1" applyBorder="1" applyAlignment="1">
      <alignment horizontal="right"/>
    </xf>
    <xf numFmtId="0" fontId="5" fillId="0" borderId="28" xfId="0" applyFont="1" applyFill="1" applyBorder="1" applyAlignment="1">
      <alignment horizontal="right"/>
    </xf>
    <xf numFmtId="173" fontId="0" fillId="0" borderId="0" xfId="2" applyNumberFormat="1" applyFont="1" applyAlignment="1">
      <alignment horizontal="right"/>
    </xf>
    <xf numFmtId="180" fontId="5" fillId="0" borderId="0" xfId="2" applyNumberFormat="1" applyFont="1"/>
    <xf numFmtId="9" fontId="5" fillId="15" borderId="2" xfId="0" applyNumberFormat="1" applyFont="1" applyFill="1" applyBorder="1"/>
    <xf numFmtId="9" fontId="5" fillId="15" borderId="5" xfId="0" applyNumberFormat="1" applyFont="1" applyFill="1" applyBorder="1"/>
    <xf numFmtId="169" fontId="3" fillId="5" borderId="9" xfId="4" applyNumberFormat="1" applyFont="1" applyFill="1" applyBorder="1" applyAlignment="1">
      <alignment horizontal="left" indent="1"/>
    </xf>
    <xf numFmtId="5" fontId="46" fillId="0" borderId="0" xfId="2" applyNumberFormat="1" applyFont="1"/>
    <xf numFmtId="164" fontId="47" fillId="0" borderId="0" xfId="0" applyNumberFormat="1" applyFont="1"/>
    <xf numFmtId="0" fontId="3" fillId="16" borderId="2" xfId="0" applyFont="1" applyFill="1" applyBorder="1" applyAlignment="1">
      <alignment horizontal="left" vertical="center" wrapText="1" indent="1"/>
    </xf>
    <xf numFmtId="0" fontId="0" fillId="16" borderId="3" xfId="0" applyFill="1" applyBorder="1" applyAlignment="1">
      <alignment horizontal="left" vertical="center" wrapText="1" indent="1"/>
    </xf>
    <xf numFmtId="0" fontId="0" fillId="16" borderId="4" xfId="0" applyFill="1" applyBorder="1" applyAlignment="1">
      <alignment horizontal="left" vertical="center" wrapText="1" indent="1"/>
    </xf>
    <xf numFmtId="0" fontId="0" fillId="16" borderId="5" xfId="0" applyFill="1" applyBorder="1" applyAlignment="1">
      <alignment horizontal="left" vertical="center" wrapText="1" indent="1"/>
    </xf>
    <xf numFmtId="0" fontId="0" fillId="16" borderId="6" xfId="0" applyFill="1" applyBorder="1" applyAlignment="1">
      <alignment horizontal="left" vertical="center" wrapText="1" indent="1"/>
    </xf>
    <xf numFmtId="0" fontId="0" fillId="16" borderId="7" xfId="0" applyFill="1" applyBorder="1" applyAlignment="1">
      <alignment horizontal="left" vertical="center" wrapText="1" indent="1"/>
    </xf>
    <xf numFmtId="0" fontId="6" fillId="0" borderId="0" xfId="0" applyFont="1" applyAlignment="1">
      <alignment vertical="center" wrapText="1"/>
    </xf>
    <xf numFmtId="0" fontId="7" fillId="7" borderId="0" xfId="0" applyFont="1" applyFill="1" applyAlignment="1">
      <alignment horizontal="left" vertical="center" wrapText="1" indent="1"/>
    </xf>
    <xf numFmtId="0" fontId="0" fillId="0" borderId="0" xfId="0" applyAlignment="1">
      <alignment horizontal="left" vertical="center" wrapText="1" indent="1"/>
    </xf>
    <xf numFmtId="0" fontId="3" fillId="5" borderId="12" xfId="0" applyFont="1" applyFill="1" applyBorder="1" applyAlignment="1">
      <alignment horizontal="right" vertical="center" wrapText="1"/>
    </xf>
    <xf numFmtId="0" fontId="0" fillId="5" borderId="17" xfId="0" applyFill="1" applyBorder="1" applyAlignment="1">
      <alignment horizontal="right" vertical="center" wrapText="1"/>
    </xf>
    <xf numFmtId="0" fontId="0" fillId="5" borderId="15" xfId="0" applyFill="1" applyBorder="1" applyAlignment="1">
      <alignment horizontal="right" vertical="center" wrapText="1"/>
    </xf>
    <xf numFmtId="0" fontId="3" fillId="0" borderId="0" xfId="0" applyFont="1" applyAlignment="1">
      <alignment horizontal="left" vertical="center" wrapText="1" indent="1"/>
    </xf>
    <xf numFmtId="0" fontId="3" fillId="3" borderId="8" xfId="0" applyFont="1" applyFill="1" applyBorder="1" applyAlignment="1">
      <alignment horizontal="center" vertical="center" wrapText="1"/>
    </xf>
    <xf numFmtId="0" fontId="0" fillId="0" borderId="8" xfId="0" applyBorder="1" applyAlignment="1">
      <alignment horizontal="center" vertical="center" wrapText="1"/>
    </xf>
    <xf numFmtId="0" fontId="0" fillId="3" borderId="8" xfId="0" applyFill="1" applyBorder="1" applyAlignment="1">
      <alignment horizontal="center" vertical="center" wrapText="1"/>
    </xf>
    <xf numFmtId="0" fontId="0" fillId="0" borderId="12" xfId="0" applyBorder="1" applyAlignment="1">
      <alignment horizontal="center" vertical="center" wrapText="1"/>
    </xf>
    <xf numFmtId="0" fontId="17" fillId="8" borderId="2" xfId="0" applyFont="1" applyFill="1" applyBorder="1" applyAlignment="1">
      <alignment horizontal="center" vertical="center" wrapText="1"/>
    </xf>
    <xf numFmtId="0" fontId="36" fillId="8" borderId="3" xfId="0" applyFont="1" applyFill="1" applyBorder="1" applyAlignment="1">
      <alignment horizontal="center" vertical="center" wrapText="1"/>
    </xf>
    <xf numFmtId="0" fontId="36" fillId="8" borderId="4" xfId="0" applyFont="1" applyFill="1" applyBorder="1" applyAlignment="1">
      <alignment horizontal="center" vertical="center" wrapText="1"/>
    </xf>
    <xf numFmtId="0" fontId="36" fillId="8" borderId="16" xfId="0" applyFont="1" applyFill="1" applyBorder="1" applyAlignment="1">
      <alignment horizontal="center" vertical="center" wrapText="1"/>
    </xf>
    <xf numFmtId="0" fontId="36" fillId="8" borderId="0" xfId="0" applyFont="1" applyFill="1" applyBorder="1" applyAlignment="1">
      <alignment horizontal="center" vertical="center" wrapText="1"/>
    </xf>
    <xf numFmtId="0" fontId="36" fillId="8" borderId="1" xfId="0" applyFont="1" applyFill="1" applyBorder="1" applyAlignment="1">
      <alignment horizontal="center" vertical="center" wrapText="1"/>
    </xf>
    <xf numFmtId="0" fontId="7" fillId="0" borderId="26" xfId="0" applyFont="1" applyBorder="1" applyAlignment="1">
      <alignment horizontal="right" wrapText="1"/>
    </xf>
    <xf numFmtId="0" fontId="7" fillId="0" borderId="0" xfId="0" applyFont="1" applyAlignment="1">
      <alignment horizontal="right" wrapText="1"/>
    </xf>
    <xf numFmtId="0" fontId="6" fillId="17" borderId="2" xfId="0" applyNumberFormat="1" applyFont="1" applyFill="1" applyBorder="1" applyAlignment="1">
      <alignment horizontal="left" vertical="center" wrapText="1" indent="1"/>
    </xf>
    <xf numFmtId="0" fontId="6" fillId="17" borderId="3" xfId="0" applyFont="1" applyFill="1" applyBorder="1" applyAlignment="1">
      <alignment horizontal="left" vertical="center" wrapText="1" indent="1"/>
    </xf>
    <xf numFmtId="0" fontId="6" fillId="17" borderId="4" xfId="0" applyFont="1" applyFill="1" applyBorder="1" applyAlignment="1">
      <alignment horizontal="left" vertical="center" wrapText="1" indent="1"/>
    </xf>
    <xf numFmtId="0" fontId="6" fillId="17" borderId="16" xfId="0" applyFont="1" applyFill="1" applyBorder="1" applyAlignment="1">
      <alignment horizontal="left" vertical="center" wrapText="1" indent="1"/>
    </xf>
    <xf numFmtId="0" fontId="6" fillId="17" borderId="0" xfId="0" applyFont="1" applyFill="1" applyBorder="1" applyAlignment="1">
      <alignment horizontal="left" vertical="center" wrapText="1" indent="1"/>
    </xf>
    <xf numFmtId="0" fontId="6" fillId="17" borderId="1" xfId="0" applyFont="1" applyFill="1" applyBorder="1" applyAlignment="1">
      <alignment horizontal="left" vertical="center" wrapText="1" indent="1"/>
    </xf>
    <xf numFmtId="0" fontId="6" fillId="17" borderId="5" xfId="0" applyFont="1" applyFill="1" applyBorder="1" applyAlignment="1">
      <alignment horizontal="left" vertical="center" wrapText="1" indent="1"/>
    </xf>
    <xf numFmtId="0" fontId="6" fillId="17" borderId="6" xfId="0" applyFont="1" applyFill="1" applyBorder="1" applyAlignment="1">
      <alignment horizontal="left" vertical="center" wrapText="1" indent="1"/>
    </xf>
    <xf numFmtId="0" fontId="6" fillId="17" borderId="7" xfId="0" applyFont="1" applyFill="1" applyBorder="1" applyAlignment="1">
      <alignment horizontal="left" vertical="center" wrapText="1" indent="1"/>
    </xf>
    <xf numFmtId="0" fontId="7" fillId="0" borderId="0" xfId="0" applyFont="1" applyAlignment="1">
      <alignment horizontal="left" vertical="center" wrapText="1" indent="1"/>
    </xf>
    <xf numFmtId="0" fontId="5" fillId="0" borderId="0" xfId="0" applyFont="1" applyAlignment="1">
      <alignment vertical="center" wrapText="1"/>
    </xf>
    <xf numFmtId="0" fontId="18" fillId="13" borderId="3" xfId="0" applyFont="1" applyFill="1" applyBorder="1" applyAlignment="1">
      <alignment horizontal="left" vertical="center" wrapText="1" indent="1"/>
    </xf>
    <xf numFmtId="0" fontId="0" fillId="13" borderId="3" xfId="0" applyFill="1" applyBorder="1" applyAlignment="1">
      <alignment horizontal="left" vertical="center" wrapText="1" indent="1"/>
    </xf>
    <xf numFmtId="0" fontId="0" fillId="13" borderId="0" xfId="0" applyFill="1" applyBorder="1" applyAlignment="1">
      <alignment horizontal="left" vertical="center" wrapText="1" indent="1"/>
    </xf>
    <xf numFmtId="0" fontId="0" fillId="0" borderId="0" xfId="0" applyBorder="1" applyAlignment="1">
      <alignment horizontal="left" vertical="center" wrapText="1" indent="1"/>
    </xf>
    <xf numFmtId="0" fontId="3" fillId="3" borderId="8" xfId="0" applyFont="1" applyFill="1" applyBorder="1" applyAlignment="1">
      <alignment horizontal="right" vertical="center" wrapText="1"/>
    </xf>
    <xf numFmtId="0" fontId="0" fillId="3" borderId="8" xfId="0" applyFill="1" applyBorder="1" applyAlignment="1">
      <alignment horizontal="right" vertical="center" wrapText="1"/>
    </xf>
    <xf numFmtId="0" fontId="3" fillId="3" borderId="12" xfId="0" applyFont="1" applyFill="1" applyBorder="1" applyAlignment="1">
      <alignment horizontal="right" vertical="center" wrapText="1"/>
    </xf>
    <xf numFmtId="0" fontId="0" fillId="3" borderId="17" xfId="0" applyFill="1" applyBorder="1" applyAlignment="1">
      <alignment horizontal="right" vertical="center" wrapText="1"/>
    </xf>
    <xf numFmtId="0" fontId="0" fillId="3" borderId="15" xfId="0" applyFill="1" applyBorder="1" applyAlignment="1">
      <alignment horizontal="right" vertical="center" wrapText="1"/>
    </xf>
    <xf numFmtId="0" fontId="6" fillId="0" borderId="0" xfId="0" applyFont="1" applyAlignment="1">
      <alignment horizontal="left" vertical="center" wrapText="1" indent="1"/>
    </xf>
    <xf numFmtId="0" fontId="18" fillId="0" borderId="0" xfId="0" applyFont="1" applyAlignment="1">
      <alignment horizontal="left" vertical="center" wrapText="1" indent="1"/>
    </xf>
    <xf numFmtId="0" fontId="7" fillId="7" borderId="2" xfId="0" applyFont="1" applyFill="1" applyBorder="1" applyAlignment="1">
      <alignment horizontal="left" vertical="center" wrapText="1" indent="1"/>
    </xf>
    <xf numFmtId="0" fontId="0" fillId="0" borderId="4" xfId="0" applyBorder="1" applyAlignment="1">
      <alignment horizontal="left" vertical="center" wrapText="1" indent="1"/>
    </xf>
    <xf numFmtId="0" fontId="0" fillId="0" borderId="16" xfId="0" applyBorder="1" applyAlignment="1">
      <alignment horizontal="left" vertical="center" wrapText="1" indent="1"/>
    </xf>
    <xf numFmtId="0" fontId="0" fillId="0" borderId="1" xfId="0" applyBorder="1" applyAlignment="1">
      <alignment horizontal="left" vertical="center" wrapText="1" indent="1"/>
    </xf>
    <xf numFmtId="0" fontId="0" fillId="0" borderId="5" xfId="0" applyBorder="1" applyAlignment="1">
      <alignment horizontal="left" vertical="center" wrapText="1" indent="1"/>
    </xf>
    <xf numFmtId="0" fontId="0" fillId="0" borderId="7" xfId="0" applyBorder="1" applyAlignment="1">
      <alignment horizontal="left" vertical="center" wrapText="1" indent="1"/>
    </xf>
    <xf numFmtId="0" fontId="3" fillId="0" borderId="0" xfId="0" applyFont="1" applyAlignment="1">
      <alignment horizontal="left" vertical="center" wrapText="1" indent="2"/>
    </xf>
    <xf numFmtId="0" fontId="0" fillId="0" borderId="0" xfId="0" applyAlignment="1">
      <alignment horizontal="left" vertical="center" wrapText="1" indent="2"/>
    </xf>
    <xf numFmtId="0" fontId="7" fillId="15" borderId="2" xfId="0" applyFont="1" applyFill="1" applyBorder="1" applyAlignment="1">
      <alignment horizontal="left" vertical="center" wrapText="1" indent="1"/>
    </xf>
    <xf numFmtId="0" fontId="7" fillId="15" borderId="4" xfId="0" applyFont="1" applyFill="1" applyBorder="1" applyAlignment="1">
      <alignment horizontal="left" vertical="center" wrapText="1" indent="1"/>
    </xf>
    <xf numFmtId="0" fontId="7" fillId="15" borderId="16" xfId="0" applyFont="1" applyFill="1" applyBorder="1" applyAlignment="1">
      <alignment horizontal="left" vertical="center" wrapText="1" indent="1"/>
    </xf>
    <xf numFmtId="0" fontId="7" fillId="15" borderId="1" xfId="0" applyFont="1" applyFill="1" applyBorder="1" applyAlignment="1">
      <alignment horizontal="left" vertical="center" wrapText="1" indent="1"/>
    </xf>
    <xf numFmtId="0" fontId="7" fillId="15" borderId="5" xfId="0" applyFont="1" applyFill="1" applyBorder="1" applyAlignment="1">
      <alignment horizontal="left" vertical="center" wrapText="1" indent="1"/>
    </xf>
    <xf numFmtId="0" fontId="7" fillId="15" borderId="7" xfId="0" applyFont="1" applyFill="1" applyBorder="1" applyAlignment="1">
      <alignment horizontal="left" vertical="center" wrapText="1" indent="1"/>
    </xf>
    <xf numFmtId="7" fontId="18" fillId="0" borderId="12" xfId="2" applyNumberFormat="1" applyFont="1" applyBorder="1" applyAlignment="1">
      <alignment horizontal="right" vertical="center" wrapText="1" indent="1"/>
    </xf>
    <xf numFmtId="0" fontId="0" fillId="0" borderId="17" xfId="0" applyBorder="1" applyAlignment="1">
      <alignment horizontal="right" vertical="center" wrapText="1" indent="1"/>
    </xf>
    <xf numFmtId="0" fontId="0" fillId="0" borderId="15" xfId="0" applyBorder="1" applyAlignment="1">
      <alignment horizontal="right" vertical="center" wrapText="1" indent="1"/>
    </xf>
    <xf numFmtId="0" fontId="3" fillId="0" borderId="1" xfId="0" applyFont="1" applyBorder="1" applyAlignment="1">
      <alignment vertical="center" wrapText="1"/>
    </xf>
    <xf numFmtId="0" fontId="0" fillId="0" borderId="0" xfId="0" applyAlignment="1">
      <alignment vertical="center" wrapText="1"/>
    </xf>
    <xf numFmtId="0" fontId="3" fillId="9" borderId="3" xfId="0" applyFont="1" applyFill="1" applyBorder="1" applyAlignment="1">
      <alignment vertical="center" wrapText="1"/>
    </xf>
    <xf numFmtId="0" fontId="0" fillId="9" borderId="4" xfId="0" applyFill="1" applyBorder="1" applyAlignment="1">
      <alignment vertical="center" wrapText="1"/>
    </xf>
    <xf numFmtId="0" fontId="0" fillId="9" borderId="0" xfId="0" applyFill="1" applyBorder="1" applyAlignment="1">
      <alignment vertical="center" wrapText="1"/>
    </xf>
    <xf numFmtId="0" fontId="0" fillId="9" borderId="1" xfId="0" applyFill="1" applyBorder="1" applyAlignment="1">
      <alignment vertical="center" wrapText="1"/>
    </xf>
    <xf numFmtId="0" fontId="0" fillId="9" borderId="6" xfId="0" applyFill="1" applyBorder="1" applyAlignment="1">
      <alignment vertical="center" wrapText="1"/>
    </xf>
    <xf numFmtId="0" fontId="0" fillId="9" borderId="7" xfId="0" applyFill="1" applyBorder="1" applyAlignment="1">
      <alignment vertical="center" wrapText="1"/>
    </xf>
    <xf numFmtId="0" fontId="0" fillId="0" borderId="0" xfId="0" applyAlignment="1">
      <alignment wrapText="1"/>
    </xf>
    <xf numFmtId="43" fontId="3" fillId="0" borderId="2" xfId="0" applyNumberFormat="1" applyFont="1" applyBorder="1" applyAlignment="1">
      <alignment horizontal="right" vertical="center" wrapText="1" indent="1"/>
    </xf>
    <xf numFmtId="0" fontId="3" fillId="0" borderId="4" xfId="0" applyFont="1" applyBorder="1" applyAlignment="1">
      <alignment horizontal="right" vertical="center" wrapText="1" indent="1"/>
    </xf>
    <xf numFmtId="0" fontId="3" fillId="0" borderId="16" xfId="0" applyFont="1" applyBorder="1" applyAlignment="1">
      <alignment horizontal="right" vertical="center" wrapText="1" indent="1"/>
    </xf>
    <xf numFmtId="0" fontId="3" fillId="0" borderId="1" xfId="0" applyFont="1" applyBorder="1" applyAlignment="1">
      <alignment horizontal="right" vertical="center" wrapText="1" indent="1"/>
    </xf>
    <xf numFmtId="0" fontId="0" fillId="0" borderId="5" xfId="0" applyBorder="1" applyAlignment="1">
      <alignment horizontal="right" vertical="center" wrapText="1" indent="1"/>
    </xf>
    <xf numFmtId="0" fontId="0" fillId="0" borderId="7" xfId="0" applyBorder="1" applyAlignment="1">
      <alignment horizontal="right" vertical="center" wrapText="1" indent="1"/>
    </xf>
    <xf numFmtId="0" fontId="5" fillId="9" borderId="2" xfId="0" applyFont="1" applyFill="1" applyBorder="1" applyAlignment="1">
      <alignment horizontal="left" vertical="center" wrapText="1" indent="1"/>
    </xf>
    <xf numFmtId="0" fontId="0" fillId="9" borderId="3" xfId="0" applyFill="1" applyBorder="1" applyAlignment="1">
      <alignment horizontal="left" vertical="center" wrapText="1" indent="1"/>
    </xf>
    <xf numFmtId="0" fontId="0" fillId="9" borderId="4" xfId="0" applyFill="1" applyBorder="1" applyAlignment="1">
      <alignment horizontal="left" vertical="center" wrapText="1" indent="1"/>
    </xf>
    <xf numFmtId="0" fontId="0" fillId="9" borderId="16" xfId="0" applyFill="1" applyBorder="1" applyAlignment="1">
      <alignment horizontal="left" vertical="center" wrapText="1" indent="1"/>
    </xf>
    <xf numFmtId="0" fontId="0" fillId="9" borderId="0" xfId="0" applyFill="1" applyBorder="1" applyAlignment="1">
      <alignment horizontal="left" vertical="center" wrapText="1" indent="1"/>
    </xf>
    <xf numFmtId="0" fontId="0" fillId="9" borderId="1" xfId="0" applyFill="1" applyBorder="1" applyAlignment="1">
      <alignment horizontal="left" vertical="center" wrapText="1" indent="1"/>
    </xf>
    <xf numFmtId="0" fontId="0" fillId="9" borderId="6" xfId="0" applyFill="1" applyBorder="1" applyAlignment="1">
      <alignment horizontal="left" vertical="center" wrapText="1" indent="1"/>
    </xf>
    <xf numFmtId="0" fontId="0" fillId="9" borderId="7" xfId="0" applyFill="1" applyBorder="1" applyAlignment="1">
      <alignment horizontal="left" vertical="center" wrapText="1" indent="1"/>
    </xf>
    <xf numFmtId="0" fontId="3" fillId="0" borderId="2" xfId="0" applyFont="1" applyBorder="1" applyAlignment="1">
      <alignment horizontal="left" vertical="center" wrapText="1" indent="1"/>
    </xf>
    <xf numFmtId="0" fontId="3" fillId="0" borderId="3" xfId="0" applyFont="1" applyBorder="1" applyAlignment="1">
      <alignment horizontal="left" vertical="center" wrapText="1" indent="1"/>
    </xf>
    <xf numFmtId="0" fontId="3" fillId="0" borderId="4" xfId="0" applyFont="1" applyBorder="1" applyAlignment="1">
      <alignment horizontal="left" vertical="center" wrapText="1" indent="1"/>
    </xf>
    <xf numFmtId="0" fontId="3" fillId="0" borderId="5" xfId="0" applyFont="1" applyBorder="1" applyAlignment="1">
      <alignment horizontal="left" vertical="center" wrapText="1" indent="1"/>
    </xf>
    <xf numFmtId="0" fontId="3" fillId="0" borderId="6" xfId="0" applyFont="1" applyBorder="1" applyAlignment="1">
      <alignment horizontal="left" vertical="center" wrapText="1" indent="1"/>
    </xf>
    <xf numFmtId="0" fontId="3" fillId="0" borderId="7" xfId="0" applyFont="1" applyBorder="1" applyAlignment="1">
      <alignment horizontal="left" vertical="center" wrapText="1" indent="1"/>
    </xf>
    <xf numFmtId="0" fontId="0" fillId="0" borderId="4" xfId="0" applyBorder="1" applyAlignment="1">
      <alignment horizontal="right" vertical="center" wrapText="1" indent="1"/>
    </xf>
    <xf numFmtId="0" fontId="0" fillId="0" borderId="16" xfId="0" applyBorder="1" applyAlignment="1">
      <alignment horizontal="right" vertical="center" wrapText="1" indent="1"/>
    </xf>
    <xf numFmtId="0" fontId="0" fillId="0" borderId="1" xfId="0" applyBorder="1" applyAlignment="1">
      <alignment horizontal="right" vertical="center" wrapText="1" indent="1"/>
    </xf>
    <xf numFmtId="0" fontId="3" fillId="0" borderId="0" xfId="0" applyFont="1" applyBorder="1" applyAlignment="1">
      <alignment horizontal="left" vertical="center" wrapText="1" indent="1"/>
    </xf>
    <xf numFmtId="9" fontId="3" fillId="0" borderId="0" xfId="0" applyNumberFormat="1" applyFont="1" applyAlignment="1">
      <alignment horizontal="left" vertical="center" wrapText="1" indent="1"/>
    </xf>
    <xf numFmtId="0" fontId="0" fillId="0" borderId="0" xfId="0" applyBorder="1" applyAlignment="1">
      <alignment wrapText="1"/>
    </xf>
    <xf numFmtId="0" fontId="3" fillId="0" borderId="18" xfId="0" applyFont="1" applyBorder="1" applyAlignment="1">
      <alignment vertical="center" wrapText="1"/>
    </xf>
    <xf numFmtId="0" fontId="0" fillId="0" borderId="19" xfId="0" applyBorder="1" applyAlignment="1">
      <alignment vertical="center" wrapText="1"/>
    </xf>
    <xf numFmtId="0" fontId="0" fillId="0" borderId="20" xfId="0" applyBorder="1" applyAlignment="1">
      <alignment vertical="center" wrapText="1"/>
    </xf>
    <xf numFmtId="0" fontId="0" fillId="0" borderId="21" xfId="0" applyBorder="1" applyAlignment="1">
      <alignment vertical="center" wrapText="1"/>
    </xf>
    <xf numFmtId="0" fontId="0" fillId="0" borderId="0" xfId="0" applyBorder="1" applyAlignment="1">
      <alignment vertical="center" wrapText="1"/>
    </xf>
    <xf numFmtId="0" fontId="0" fillId="0" borderId="22" xfId="0" applyBorder="1" applyAlignment="1">
      <alignment vertical="center" wrapText="1"/>
    </xf>
    <xf numFmtId="0" fontId="0" fillId="0" borderId="23" xfId="0" applyBorder="1" applyAlignment="1">
      <alignment vertical="center" wrapText="1"/>
    </xf>
    <xf numFmtId="0" fontId="0" fillId="0" borderId="13" xfId="0" applyBorder="1" applyAlignment="1">
      <alignment vertical="center" wrapText="1"/>
    </xf>
    <xf numFmtId="0" fontId="0" fillId="0" borderId="24" xfId="0" applyBorder="1" applyAlignment="1">
      <alignment vertical="center" wrapText="1"/>
    </xf>
    <xf numFmtId="0" fontId="3" fillId="0" borderId="0" xfId="0" applyFont="1" applyBorder="1" applyAlignment="1">
      <alignment wrapText="1"/>
    </xf>
    <xf numFmtId="0" fontId="7" fillId="10" borderId="8" xfId="0" applyFont="1" applyFill="1" applyBorder="1" applyAlignment="1">
      <alignment horizontal="right" vertical="center" wrapText="1"/>
    </xf>
    <xf numFmtId="0" fontId="5" fillId="10" borderId="8" xfId="0" applyFont="1" applyFill="1" applyBorder="1" applyAlignment="1">
      <alignment horizontal="right" vertical="center" wrapText="1"/>
    </xf>
    <xf numFmtId="0" fontId="0" fillId="10" borderId="8" xfId="0" applyFill="1" applyBorder="1" applyAlignment="1">
      <alignment horizontal="right" vertical="center" wrapText="1"/>
    </xf>
    <xf numFmtId="0" fontId="5" fillId="0" borderId="0" xfId="0" applyFont="1" applyAlignment="1">
      <alignment horizontal="center" wrapText="1"/>
    </xf>
    <xf numFmtId="0" fontId="3" fillId="18" borderId="2" xfId="0" applyFont="1" applyFill="1" applyBorder="1" applyAlignment="1">
      <alignment horizontal="left" vertical="center" wrapText="1" indent="1"/>
    </xf>
    <xf numFmtId="0" fontId="3" fillId="18" borderId="3" xfId="0" applyFont="1" applyFill="1" applyBorder="1" applyAlignment="1">
      <alignment horizontal="left" vertical="center" wrapText="1" indent="1"/>
    </xf>
    <xf numFmtId="0" fontId="3" fillId="18" borderId="4" xfId="0" applyFont="1" applyFill="1" applyBorder="1" applyAlignment="1">
      <alignment horizontal="left" vertical="center" wrapText="1" indent="1"/>
    </xf>
    <xf numFmtId="0" fontId="3" fillId="18" borderId="16" xfId="0" applyFont="1" applyFill="1" applyBorder="1" applyAlignment="1">
      <alignment horizontal="left" vertical="center" wrapText="1" indent="1"/>
    </xf>
    <xf numFmtId="0" fontId="3" fillId="18" borderId="0" xfId="0" applyFont="1" applyFill="1" applyBorder="1" applyAlignment="1">
      <alignment horizontal="left" vertical="center" wrapText="1" indent="1"/>
    </xf>
    <xf numFmtId="0" fontId="3" fillId="18" borderId="1" xfId="0" applyFont="1" applyFill="1" applyBorder="1" applyAlignment="1">
      <alignment horizontal="left" vertical="center" wrapText="1" indent="1"/>
    </xf>
    <xf numFmtId="0" fontId="3" fillId="18" borderId="5" xfId="0" applyFont="1" applyFill="1" applyBorder="1" applyAlignment="1">
      <alignment horizontal="left" vertical="center" wrapText="1" indent="1"/>
    </xf>
    <xf numFmtId="0" fontId="3" fillId="18" borderId="6" xfId="0" applyFont="1" applyFill="1" applyBorder="1" applyAlignment="1">
      <alignment horizontal="left" vertical="center" wrapText="1" indent="1"/>
    </xf>
    <xf numFmtId="0" fontId="3" fillId="18" borderId="7" xfId="0" applyFont="1" applyFill="1" applyBorder="1" applyAlignment="1">
      <alignment horizontal="left" vertical="center" wrapText="1" indent="1"/>
    </xf>
    <xf numFmtId="0" fontId="6" fillId="18" borderId="2" xfId="0" applyFont="1" applyFill="1" applyBorder="1" applyAlignment="1">
      <alignment vertical="top" wrapText="1"/>
    </xf>
    <xf numFmtId="0" fontId="0" fillId="18" borderId="3" xfId="0" applyFill="1" applyBorder="1" applyAlignment="1">
      <alignment vertical="top" wrapText="1"/>
    </xf>
    <xf numFmtId="0" fontId="0" fillId="18" borderId="4" xfId="0" applyFill="1" applyBorder="1" applyAlignment="1">
      <alignment vertical="top" wrapText="1"/>
    </xf>
    <xf numFmtId="0" fontId="0" fillId="18" borderId="5" xfId="0" applyFill="1" applyBorder="1" applyAlignment="1">
      <alignment vertical="top" wrapText="1"/>
    </xf>
    <xf numFmtId="0" fontId="0" fillId="18" borderId="6" xfId="0" applyFill="1" applyBorder="1" applyAlignment="1">
      <alignment vertical="top" wrapText="1"/>
    </xf>
    <xf numFmtId="0" fontId="0" fillId="18" borderId="7" xfId="0" applyFill="1" applyBorder="1" applyAlignment="1">
      <alignment vertical="top" wrapText="1"/>
    </xf>
    <xf numFmtId="0" fontId="3" fillId="0" borderId="0" xfId="0" applyFont="1" applyAlignment="1">
      <alignment horizontal="right" wrapText="1"/>
    </xf>
    <xf numFmtId="0" fontId="0" fillId="0" borderId="0" xfId="0" applyAlignment="1">
      <alignment horizontal="right" wrapText="1"/>
    </xf>
    <xf numFmtId="0" fontId="3" fillId="0" borderId="0" xfId="0" applyFont="1" applyAlignment="1">
      <alignment vertical="center" wrapText="1"/>
    </xf>
    <xf numFmtId="0" fontId="7" fillId="4" borderId="0" xfId="0" applyFont="1" applyFill="1" applyAlignment="1">
      <alignment horizontal="right" wrapText="1"/>
    </xf>
    <xf numFmtId="0" fontId="0" fillId="4" borderId="0" xfId="0" applyFill="1" applyAlignment="1">
      <alignment horizontal="right" wrapText="1"/>
    </xf>
    <xf numFmtId="0" fontId="3" fillId="14" borderId="2" xfId="0" applyFont="1" applyFill="1" applyBorder="1" applyAlignment="1">
      <alignment horizontal="left" vertical="center" wrapText="1" indent="1"/>
    </xf>
    <xf numFmtId="0" fontId="0" fillId="14" borderId="3" xfId="0" applyFill="1" applyBorder="1" applyAlignment="1">
      <alignment horizontal="left" vertical="center" wrapText="1" indent="1"/>
    </xf>
    <xf numFmtId="0" fontId="0" fillId="14" borderId="4" xfId="0" applyFill="1" applyBorder="1" applyAlignment="1">
      <alignment horizontal="left" vertical="center" wrapText="1" indent="1"/>
    </xf>
    <xf numFmtId="0" fontId="0" fillId="14" borderId="16" xfId="0" applyFill="1" applyBorder="1" applyAlignment="1">
      <alignment horizontal="left" vertical="center" wrapText="1" indent="1"/>
    </xf>
    <xf numFmtId="0" fontId="0" fillId="14" borderId="0" xfId="0" applyFill="1" applyBorder="1" applyAlignment="1">
      <alignment horizontal="left" vertical="center" wrapText="1" indent="1"/>
    </xf>
    <xf numFmtId="0" fontId="0" fillId="14" borderId="1" xfId="0" applyFill="1" applyBorder="1" applyAlignment="1">
      <alignment horizontal="left" vertical="center" wrapText="1" indent="1"/>
    </xf>
    <xf numFmtId="0" fontId="0" fillId="14" borderId="5" xfId="0" applyFill="1" applyBorder="1" applyAlignment="1">
      <alignment horizontal="left" vertical="center" wrapText="1" indent="1"/>
    </xf>
    <xf numFmtId="0" fontId="0" fillId="14" borderId="6" xfId="0" applyFill="1" applyBorder="1" applyAlignment="1">
      <alignment horizontal="left" vertical="center" wrapText="1" indent="1"/>
    </xf>
    <xf numFmtId="0" fontId="0" fillId="14" borderId="7" xfId="0" applyFill="1" applyBorder="1" applyAlignment="1">
      <alignment horizontal="left" vertical="center" wrapText="1" indent="1"/>
    </xf>
    <xf numFmtId="0" fontId="6" fillId="18" borderId="2" xfId="0" applyFont="1" applyFill="1" applyBorder="1" applyAlignment="1">
      <alignment vertical="center" wrapText="1"/>
    </xf>
    <xf numFmtId="0" fontId="0" fillId="18" borderId="3" xfId="0" applyFill="1" applyBorder="1" applyAlignment="1">
      <alignment vertical="center" wrapText="1"/>
    </xf>
    <xf numFmtId="0" fontId="0" fillId="18" borderId="4" xfId="0" applyFill="1" applyBorder="1" applyAlignment="1">
      <alignment vertical="center" wrapText="1"/>
    </xf>
    <xf numFmtId="0" fontId="0" fillId="18" borderId="5" xfId="0" applyFill="1" applyBorder="1" applyAlignment="1">
      <alignment vertical="center" wrapText="1"/>
    </xf>
    <xf numFmtId="0" fontId="0" fillId="18" borderId="6" xfId="0" applyFill="1" applyBorder="1" applyAlignment="1">
      <alignment vertical="center" wrapText="1"/>
    </xf>
    <xf numFmtId="0" fontId="0" fillId="18" borderId="7" xfId="0" applyFill="1" applyBorder="1" applyAlignment="1">
      <alignment vertical="center" wrapText="1"/>
    </xf>
    <xf numFmtId="0" fontId="0" fillId="0" borderId="0" xfId="0" applyAlignment="1">
      <alignment horizontal="center"/>
    </xf>
    <xf numFmtId="0" fontId="6" fillId="0" borderId="0" xfId="0" applyFont="1" applyAlignment="1">
      <alignment horizontal="right" wrapText="1"/>
    </xf>
    <xf numFmtId="0" fontId="3" fillId="0" borderId="0" xfId="0" applyFont="1" applyAlignment="1">
      <alignment horizontal="center" wrapText="1"/>
    </xf>
    <xf numFmtId="0" fontId="28" fillId="0" borderId="0" xfId="0" applyFont="1" applyAlignment="1">
      <alignment horizontal="center" wrapText="1"/>
    </xf>
    <xf numFmtId="0" fontId="3" fillId="0" borderId="0" xfId="0" applyFont="1" applyAlignment="1">
      <alignment horizontal="left" wrapText="1" indent="1"/>
    </xf>
    <xf numFmtId="0" fontId="0" fillId="0" borderId="0" xfId="0" applyAlignment="1">
      <alignment horizontal="left" wrapText="1" indent="1"/>
    </xf>
    <xf numFmtId="0" fontId="7" fillId="0" borderId="0" xfId="0" quotePrefix="1" applyFont="1" applyAlignment="1">
      <alignment horizontal="right" wrapText="1"/>
    </xf>
    <xf numFmtId="0" fontId="0" fillId="0" borderId="0" xfId="0" applyAlignment="1">
      <alignment horizontal="left" wrapText="1"/>
    </xf>
  </cellXfs>
  <cellStyles count="5">
    <cellStyle name="Comma" xfId="1" builtinId="3"/>
    <cellStyle name="Currency" xfId="2" builtinId="4"/>
    <cellStyle name="Hyperlink" xfId="3" builtinId="8"/>
    <cellStyle name="Normal" xfId="0" builtinId="0"/>
    <cellStyle name="Percent" xfId="4"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000000"/>
                </a:solidFill>
                <a:latin typeface="Arial"/>
                <a:ea typeface="Arial"/>
                <a:cs typeface="Arial"/>
              </a:defRPr>
            </a:pPr>
            <a:r>
              <a:rPr lang="en-US" sz="1475" b="1" i="0" u="none" strike="noStrike" baseline="0">
                <a:solidFill>
                  <a:srgbClr val="000000"/>
                </a:solidFill>
                <a:latin typeface="Arial"/>
                <a:cs typeface="Arial"/>
              </a:rPr>
              <a:t>Carbon Emissions Under Different Pricing Approaches </a:t>
            </a:r>
            <a:endParaRPr lang="en-US" sz="2050" b="1" i="0" u="none" strike="noStrike" baseline="0">
              <a:solidFill>
                <a:srgbClr val="000000"/>
              </a:solidFill>
              <a:latin typeface="Arial"/>
              <a:cs typeface="Arial"/>
            </a:endParaRPr>
          </a:p>
          <a:p>
            <a:pPr>
              <a:defRPr sz="1200" b="0" i="0" u="none" strike="noStrike" baseline="0">
                <a:solidFill>
                  <a:srgbClr val="000000"/>
                </a:solidFill>
                <a:latin typeface="Arial"/>
                <a:ea typeface="Arial"/>
                <a:cs typeface="Arial"/>
              </a:defRPr>
            </a:pPr>
            <a:endParaRPr lang="en-US" sz="2050" b="1" i="0" u="none" strike="noStrike" baseline="0">
              <a:solidFill>
                <a:srgbClr val="000000"/>
              </a:solidFill>
              <a:latin typeface="Arial"/>
              <a:cs typeface="Arial"/>
            </a:endParaRPr>
          </a:p>
        </c:rich>
      </c:tx>
      <c:layout>
        <c:manualLayout>
          <c:xMode val="edge"/>
          <c:yMode val="edge"/>
          <c:x val="0.19954202475593091"/>
          <c:y val="2.5394596058188196E-2"/>
        </c:manualLayout>
      </c:layout>
      <c:overlay val="0"/>
      <c:spPr>
        <a:noFill/>
        <a:ln w="25400">
          <a:noFill/>
        </a:ln>
      </c:spPr>
    </c:title>
    <c:autoTitleDeleted val="0"/>
    <c:plotArea>
      <c:layout>
        <c:manualLayout>
          <c:layoutTarget val="inner"/>
          <c:xMode val="edge"/>
          <c:yMode val="edge"/>
          <c:x val="0.14511553518692413"/>
          <c:y val="0.11137177829826411"/>
          <c:w val="0.81368353658382409"/>
          <c:h val="0.76983299385115889"/>
        </c:manualLayout>
      </c:layout>
      <c:lineChart>
        <c:grouping val="standard"/>
        <c:varyColors val="0"/>
        <c:ser>
          <c:idx val="0"/>
          <c:order val="0"/>
          <c:tx>
            <c:v>No Carbon Price</c:v>
          </c:tx>
          <c:spPr>
            <a:ln w="12700">
              <a:solidFill>
                <a:srgbClr val="000080"/>
              </a:solidFill>
              <a:prstDash val="solid"/>
            </a:ln>
          </c:spPr>
          <c:marker>
            <c:symbol val="diamond"/>
            <c:size val="9"/>
            <c:spPr>
              <a:solidFill>
                <a:srgbClr val="000080"/>
              </a:solidFill>
              <a:ln>
                <a:solidFill>
                  <a:srgbClr val="000080"/>
                </a:solidFill>
                <a:prstDash val="solid"/>
              </a:ln>
            </c:spPr>
          </c:marker>
          <c:cat>
            <c:numRef>
              <c:f>Graph_CO2!$I$6:$AJ$6</c:f>
              <c:numCache>
                <c:formatCode>0</c:formatCode>
                <c:ptCount val="28"/>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numCache>
            </c:numRef>
          </c:cat>
          <c:val>
            <c:numRef>
              <c:f>Graph_CO2!$I$7:$X$7</c:f>
              <c:numCache>
                <c:formatCode>0</c:formatCode>
                <c:ptCount val="16"/>
                <c:pt idx="0">
                  <c:v>5862.9</c:v>
                </c:pt>
                <c:pt idx="1">
                  <c:v>5873.6</c:v>
                </c:pt>
                <c:pt idx="2">
                  <c:v>5884.3000000000011</c:v>
                </c:pt>
                <c:pt idx="3">
                  <c:v>5699.5999999999995</c:v>
                </c:pt>
                <c:pt idx="4">
                  <c:v>5332.1</c:v>
                </c:pt>
                <c:pt idx="5">
                  <c:v>5541.5158982895991</c:v>
                </c:pt>
                <c:pt idx="6">
                  <c:v>5541.3096846096032</c:v>
                </c:pt>
                <c:pt idx="7">
                  <c:v>5563.8611951701323</c:v>
                </c:pt>
                <c:pt idx="8">
                  <c:v>5606.9083446232671</c:v>
                </c:pt>
                <c:pt idx="9">
                  <c:v>5650.2982580446615</c:v>
                </c:pt>
                <c:pt idx="10">
                  <c:v>5694.0337496735847</c:v>
                </c:pt>
                <c:pt idx="11">
                  <c:v>5738.1176575830541</c:v>
                </c:pt>
                <c:pt idx="12">
                  <c:v>5782.5528438877718</c:v>
                </c:pt>
                <c:pt idx="13">
                  <c:v>5827.3421949539024</c:v>
                </c:pt>
                <c:pt idx="14">
                  <c:v>5872.4886216107579</c:v>
                </c:pt>
                <c:pt idx="15">
                  <c:v>5917.995059364358</c:v>
                </c:pt>
              </c:numCache>
            </c:numRef>
          </c:val>
          <c:smooth val="0"/>
        </c:ser>
        <c:ser>
          <c:idx val="3"/>
          <c:order val="1"/>
          <c:tx>
            <c:v>Larson ($15/tonCO2, incemented @ $12.50/yr)</c:v>
          </c:tx>
          <c:spPr>
            <a:ln w="25400">
              <a:solidFill>
                <a:srgbClr val="00FFFF"/>
              </a:solidFill>
              <a:prstDash val="solid"/>
            </a:ln>
          </c:spPr>
          <c:marker>
            <c:symbol val="x"/>
            <c:size val="7"/>
            <c:spPr>
              <a:solidFill>
                <a:srgbClr val="00FFFF"/>
              </a:solidFill>
              <a:ln>
                <a:solidFill>
                  <a:srgbClr val="00FFFF"/>
                </a:solidFill>
                <a:prstDash val="solid"/>
              </a:ln>
            </c:spPr>
          </c:marker>
          <c:val>
            <c:numRef>
              <c:f>Graph_CO2!$I$8:$X$8</c:f>
              <c:numCache>
                <c:formatCode>0</c:formatCode>
                <c:ptCount val="16"/>
                <c:pt idx="0">
                  <c:v>5862.9</c:v>
                </c:pt>
                <c:pt idx="1">
                  <c:v>5873.6</c:v>
                </c:pt>
                <c:pt idx="2">
                  <c:v>5884.3000000000011</c:v>
                </c:pt>
                <c:pt idx="3">
                  <c:v>5699.5999999999995</c:v>
                </c:pt>
                <c:pt idx="4">
                  <c:v>5332.1</c:v>
                </c:pt>
                <c:pt idx="5">
                  <c:v>5541.5158982895991</c:v>
                </c:pt>
                <c:pt idx="6">
                  <c:v>5541.3096846096032</c:v>
                </c:pt>
                <c:pt idx="7">
                  <c:v>5383.8566313699903</c:v>
                </c:pt>
                <c:pt idx="8">
                  <c:v>5257.0419213197702</c:v>
                </c:pt>
                <c:pt idx="9">
                  <c:v>5118.5195804550603</c:v>
                </c:pt>
                <c:pt idx="10">
                  <c:v>4971.0700830880896</c:v>
                </c:pt>
                <c:pt idx="11">
                  <c:v>4817.05722512584</c:v>
                </c:pt>
                <c:pt idx="12">
                  <c:v>4658.48691895718</c:v>
                </c:pt>
                <c:pt idx="13">
                  <c:v>4497.0568981346396</c:v>
                </c:pt>
                <c:pt idx="14">
                  <c:v>4334.1992176147896</c:v>
                </c:pt>
                <c:pt idx="15">
                  <c:v>4171.1168385660703</c:v>
                </c:pt>
              </c:numCache>
            </c:numRef>
          </c:val>
          <c:smooth val="0"/>
        </c:ser>
        <c:ser>
          <c:idx val="1"/>
          <c:order val="2"/>
          <c:tx>
            <c:v>Waxman-Markey without Offsets</c:v>
          </c:tx>
          <c:spPr>
            <a:ln w="12700">
              <a:solidFill>
                <a:srgbClr val="FF00FF"/>
              </a:solidFill>
              <a:prstDash val="solid"/>
            </a:ln>
          </c:spPr>
          <c:marker>
            <c:symbol val="x"/>
            <c:size val="7"/>
            <c:spPr>
              <a:solidFill>
                <a:srgbClr val="FF00FF"/>
              </a:solidFill>
              <a:ln>
                <a:solidFill>
                  <a:srgbClr val="FF00FF"/>
                </a:solidFill>
                <a:prstDash val="solid"/>
              </a:ln>
            </c:spPr>
          </c:marker>
          <c:val>
            <c:numRef>
              <c:f>Graph_CO2!$I$9:$X$9</c:f>
              <c:numCache>
                <c:formatCode>0</c:formatCode>
                <c:ptCount val="16"/>
                <c:pt idx="0">
                  <c:v>5862.9</c:v>
                </c:pt>
                <c:pt idx="1">
                  <c:v>5873.6</c:v>
                </c:pt>
                <c:pt idx="2">
                  <c:v>5884.3000000000011</c:v>
                </c:pt>
                <c:pt idx="3">
                  <c:v>5699.5999999999995</c:v>
                </c:pt>
                <c:pt idx="4">
                  <c:v>5332.1</c:v>
                </c:pt>
                <c:pt idx="5">
                  <c:v>5541.5158982895991</c:v>
                </c:pt>
                <c:pt idx="6">
                  <c:v>5541.3096846096032</c:v>
                </c:pt>
                <c:pt idx="7">
                  <c:v>5466.2982752085363</c:v>
                </c:pt>
                <c:pt idx="8">
                  <c:v>5391.2868658074694</c:v>
                </c:pt>
                <c:pt idx="9">
                  <c:v>5316.2754564064016</c:v>
                </c:pt>
                <c:pt idx="10">
                  <c:v>5241.2640470053348</c:v>
                </c:pt>
                <c:pt idx="11">
                  <c:v>5166.2526376042679</c:v>
                </c:pt>
                <c:pt idx="12">
                  <c:v>5091.241228203201</c:v>
                </c:pt>
                <c:pt idx="13">
                  <c:v>5016.2298188021332</c:v>
                </c:pt>
                <c:pt idx="14">
                  <c:v>4941.2184094010663</c:v>
                </c:pt>
                <c:pt idx="15">
                  <c:v>4866.2069999999994</c:v>
                </c:pt>
              </c:numCache>
            </c:numRef>
          </c:val>
          <c:smooth val="0"/>
        </c:ser>
        <c:ser>
          <c:idx val="2"/>
          <c:order val="3"/>
          <c:tx>
            <c:v>User-Selected Price</c:v>
          </c:tx>
          <c:val>
            <c:numRef>
              <c:f>Graph_CO2!$I$10:$X$10</c:f>
              <c:numCache>
                <c:formatCode>0</c:formatCode>
                <c:ptCount val="16"/>
                <c:pt idx="0">
                  <c:v>5862.9</c:v>
                </c:pt>
                <c:pt idx="1">
                  <c:v>5873.6</c:v>
                </c:pt>
                <c:pt idx="2">
                  <c:v>5884.3000000000011</c:v>
                </c:pt>
                <c:pt idx="3">
                  <c:v>5699.5999999999995</c:v>
                </c:pt>
                <c:pt idx="4">
                  <c:v>5332.1</c:v>
                </c:pt>
                <c:pt idx="5">
                  <c:v>5541.5158982895991</c:v>
                </c:pt>
                <c:pt idx="6">
                  <c:v>5541.3096846096032</c:v>
                </c:pt>
                <c:pt idx="7">
                  <c:v>5435.6247918920571</c:v>
                </c:pt>
                <c:pt idx="8">
                  <c:v>5437.1109929833619</c:v>
                </c:pt>
                <c:pt idx="9">
                  <c:v>5434.1422888090838</c:v>
                </c:pt>
                <c:pt idx="10">
                  <c:v>5426.4670668862836</c:v>
                </c:pt>
                <c:pt idx="11">
                  <c:v>5413.8270064820344</c:v>
                </c:pt>
                <c:pt idx="12">
                  <c:v>5395.9582914109424</c:v>
                </c:pt>
                <c:pt idx="13">
                  <c:v>5372.5931928477085</c:v>
                </c:pt>
                <c:pt idx="14">
                  <c:v>5343.4620695842323</c:v>
                </c:pt>
                <c:pt idx="15">
                  <c:v>5308.2958313091949</c:v>
                </c:pt>
              </c:numCache>
            </c:numRef>
          </c:val>
          <c:smooth val="0"/>
        </c:ser>
        <c:dLbls>
          <c:showLegendKey val="0"/>
          <c:showVal val="0"/>
          <c:showCatName val="0"/>
          <c:showSerName val="0"/>
          <c:showPercent val="0"/>
          <c:showBubbleSize val="0"/>
        </c:dLbls>
        <c:marker val="1"/>
        <c:smooth val="0"/>
        <c:axId val="366204584"/>
        <c:axId val="366197136"/>
      </c:lineChart>
      <c:catAx>
        <c:axId val="366204584"/>
        <c:scaling>
          <c:orientation val="minMax"/>
        </c:scaling>
        <c:delete val="0"/>
        <c:axPos val="b"/>
        <c:numFmt formatCode="0" sourceLinked="1"/>
        <c:majorTickMark val="out"/>
        <c:minorTickMark val="none"/>
        <c:tickLblPos val="nextTo"/>
        <c:spPr>
          <a:ln w="3175">
            <a:solidFill>
              <a:srgbClr val="000000"/>
            </a:solidFill>
            <a:prstDash val="solid"/>
          </a:ln>
        </c:spPr>
        <c:txPr>
          <a:bodyPr rot="0" vert="horz"/>
          <a:lstStyle/>
          <a:p>
            <a:pPr>
              <a:defRPr sz="1025" b="1" i="0" u="none" strike="noStrike" baseline="0">
                <a:solidFill>
                  <a:srgbClr val="000000"/>
                </a:solidFill>
                <a:latin typeface="Arial"/>
                <a:ea typeface="Arial"/>
                <a:cs typeface="Arial"/>
              </a:defRPr>
            </a:pPr>
            <a:endParaRPr lang="en-US"/>
          </a:p>
        </c:txPr>
        <c:crossAx val="366197136"/>
        <c:crosses val="autoZero"/>
        <c:auto val="1"/>
        <c:lblAlgn val="ctr"/>
        <c:lblOffset val="100"/>
        <c:tickLblSkip val="1"/>
        <c:tickMarkSkip val="1"/>
        <c:noMultiLvlLbl val="0"/>
      </c:catAx>
      <c:valAx>
        <c:axId val="366197136"/>
        <c:scaling>
          <c:orientation val="minMax"/>
          <c:max val="8000"/>
          <c:min val="0"/>
        </c:scaling>
        <c:delete val="0"/>
        <c:axPos val="l"/>
        <c:majorGridlines>
          <c:spPr>
            <a:ln w="3175">
              <a:solidFill>
                <a:srgbClr val="000000"/>
              </a:solidFill>
              <a:prstDash val="solid"/>
            </a:ln>
          </c:spPr>
        </c:majorGridlines>
        <c:title>
          <c:tx>
            <c:rich>
              <a:bodyPr/>
              <a:lstStyle/>
              <a:p>
                <a:pPr>
                  <a:defRPr sz="1075" b="1" i="0" u="none" strike="noStrike" baseline="0">
                    <a:solidFill>
                      <a:srgbClr val="000000"/>
                    </a:solidFill>
                    <a:latin typeface="Arial"/>
                    <a:ea typeface="Arial"/>
                    <a:cs typeface="Arial"/>
                  </a:defRPr>
                </a:pPr>
                <a:r>
                  <a:rPr lang="en-US"/>
                  <a:t>Million Tonnes CO2 (U.S.)</a:t>
                </a:r>
              </a:p>
            </c:rich>
          </c:tx>
          <c:layout>
            <c:manualLayout>
              <c:xMode val="edge"/>
              <c:yMode val="edge"/>
              <c:x val="2.9800607054082152E-2"/>
              <c:y val="0.32629991134635661"/>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1200" b="0" i="0" u="none" strike="noStrike" baseline="0">
                <a:solidFill>
                  <a:srgbClr val="000000"/>
                </a:solidFill>
                <a:latin typeface="Arial"/>
                <a:ea typeface="Arial"/>
                <a:cs typeface="Arial"/>
              </a:defRPr>
            </a:pPr>
            <a:endParaRPr lang="en-US"/>
          </a:p>
        </c:txPr>
        <c:crossAx val="366204584"/>
        <c:crosses val="autoZero"/>
        <c:crossBetween val="midCat"/>
        <c:minorUnit val="500"/>
      </c:valAx>
      <c:spPr>
        <a:solidFill>
          <a:srgbClr val="C0C0C0"/>
        </a:solidFill>
        <a:ln w="12700">
          <a:solidFill>
            <a:srgbClr val="808080"/>
          </a:solidFill>
          <a:prstDash val="solid"/>
        </a:ln>
      </c:spPr>
    </c:plotArea>
    <c:legend>
      <c:legendPos val="r"/>
      <c:layout>
        <c:manualLayout>
          <c:xMode val="edge"/>
          <c:yMode val="edge"/>
          <c:x val="0.40312926588147646"/>
          <c:y val="0.60232997497608975"/>
          <c:w val="0.26474152824759678"/>
          <c:h val="0.25956756237417117"/>
        </c:manualLayout>
      </c:layout>
      <c:overlay val="0"/>
      <c:spPr>
        <a:solidFill>
          <a:srgbClr val="FFFFFF"/>
        </a:solidFill>
        <a:ln w="3175">
          <a:solidFill>
            <a:srgbClr val="000000"/>
          </a:solidFill>
          <a:prstDash val="solid"/>
        </a:ln>
      </c:spPr>
      <c:txPr>
        <a:bodyPr/>
        <a:lstStyle/>
        <a:p>
          <a:pPr>
            <a:defRPr sz="820" b="1"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n-US"/>
    </a:p>
  </c:txPr>
  <c:printSettings>
    <c:headerFooter alignWithMargins="0"/>
    <c:pageMargins b="1" l="0.75000000000000089" r="0.75000000000000089" t="1" header="0.5" footer="0.5"/>
    <c:pageSetup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000000"/>
                </a:solidFill>
                <a:latin typeface="Arial"/>
                <a:ea typeface="Arial"/>
                <a:cs typeface="Arial"/>
              </a:defRPr>
            </a:pPr>
            <a:r>
              <a:rPr lang="en-US" sz="1475" b="1" i="0" u="none" strike="noStrike" baseline="0">
                <a:solidFill>
                  <a:srgbClr val="000000"/>
                </a:solidFill>
                <a:latin typeface="Arial"/>
                <a:cs typeface="Arial"/>
              </a:rPr>
              <a:t>U.S. Petroleum Consumption Under Different Carbon Pricing </a:t>
            </a:r>
            <a:endParaRPr lang="en-US" sz="2050" b="1" i="0" u="none" strike="noStrike" baseline="0">
              <a:solidFill>
                <a:srgbClr val="000000"/>
              </a:solidFill>
              <a:latin typeface="Arial"/>
              <a:cs typeface="Arial"/>
            </a:endParaRPr>
          </a:p>
          <a:p>
            <a:pPr>
              <a:defRPr sz="1200" b="0" i="0" u="none" strike="noStrike" baseline="0">
                <a:solidFill>
                  <a:srgbClr val="000000"/>
                </a:solidFill>
                <a:latin typeface="Arial"/>
                <a:ea typeface="Arial"/>
                <a:cs typeface="Arial"/>
              </a:defRPr>
            </a:pPr>
            <a:endParaRPr lang="en-US" sz="2050" b="1" i="0" u="none" strike="noStrike" baseline="0">
              <a:solidFill>
                <a:srgbClr val="000000"/>
              </a:solidFill>
              <a:latin typeface="Arial"/>
              <a:cs typeface="Arial"/>
            </a:endParaRPr>
          </a:p>
        </c:rich>
      </c:tx>
      <c:layout>
        <c:manualLayout>
          <c:xMode val="edge"/>
          <c:yMode val="edge"/>
          <c:x val="0.15422475638821009"/>
          <c:y val="3.1905005218773673E-2"/>
        </c:manualLayout>
      </c:layout>
      <c:overlay val="0"/>
      <c:spPr>
        <a:noFill/>
        <a:ln w="25400">
          <a:noFill/>
        </a:ln>
      </c:spPr>
    </c:title>
    <c:autoTitleDeleted val="0"/>
    <c:plotArea>
      <c:layout>
        <c:manualLayout>
          <c:layoutTarget val="inner"/>
          <c:xMode val="edge"/>
          <c:yMode val="edge"/>
          <c:x val="0.14511553518692424"/>
          <c:y val="0.11137177829826411"/>
          <c:w val="0.81368353658382453"/>
          <c:h val="0.76983299385115889"/>
        </c:manualLayout>
      </c:layout>
      <c:lineChart>
        <c:grouping val="standard"/>
        <c:varyColors val="0"/>
        <c:ser>
          <c:idx val="0"/>
          <c:order val="0"/>
          <c:tx>
            <c:v>No Carbon Price</c:v>
          </c:tx>
          <c:spPr>
            <a:ln w="12700">
              <a:solidFill>
                <a:srgbClr val="000080"/>
              </a:solidFill>
              <a:prstDash val="solid"/>
            </a:ln>
          </c:spPr>
          <c:marker>
            <c:symbol val="diamond"/>
            <c:size val="9"/>
            <c:spPr>
              <a:solidFill>
                <a:srgbClr val="000080"/>
              </a:solidFill>
              <a:ln>
                <a:solidFill>
                  <a:srgbClr val="000080"/>
                </a:solidFill>
                <a:prstDash val="solid"/>
              </a:ln>
            </c:spPr>
          </c:marker>
          <c:cat>
            <c:numRef>
              <c:f>Graph_CO2!$I$6:$AJ$6</c:f>
              <c:numCache>
                <c:formatCode>0</c:formatCode>
                <c:ptCount val="28"/>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numCache>
            </c:numRef>
          </c:cat>
          <c:val>
            <c:numRef>
              <c:f>Graph_Oil!$I$75:$X$75</c:f>
              <c:numCache>
                <c:formatCode>_(* #,##0_);_(* \(#,##0\);_(* "-"??_);_(@_)</c:formatCode>
                <c:ptCount val="16"/>
                <c:pt idx="0">
                  <c:v>20275.414164397465</c:v>
                </c:pt>
                <c:pt idx="1">
                  <c:v>20310.541796050304</c:v>
                </c:pt>
                <c:pt idx="2">
                  <c:v>20345.669427703146</c:v>
                </c:pt>
                <c:pt idx="3">
                  <c:v>19501.139827015551</c:v>
                </c:pt>
                <c:pt idx="4">
                  <c:v>18645.204131471633</c:v>
                </c:pt>
                <c:pt idx="5">
                  <c:v>19165.946661645201</c:v>
                </c:pt>
                <c:pt idx="6">
                  <c:v>19079.198832002687</c:v>
                </c:pt>
                <c:pt idx="7">
                  <c:v>19156.602481000806</c:v>
                </c:pt>
                <c:pt idx="8">
                  <c:v>19303.531670760931</c:v>
                </c:pt>
                <c:pt idx="9">
                  <c:v>19451.632084064204</c:v>
                </c:pt>
                <c:pt idx="10">
                  <c:v>19600.913433586789</c:v>
                </c:pt>
                <c:pt idx="11">
                  <c:v>19751.385515641985</c:v>
                </c:pt>
                <c:pt idx="12">
                  <c:v>19903.058210924963</c:v>
                </c:pt>
                <c:pt idx="13">
                  <c:v>20055.941485264313</c:v>
                </c:pt>
                <c:pt idx="14">
                  <c:v>20210.045390380474</c:v>
                </c:pt>
                <c:pt idx="15">
                  <c:v>20365.380064651144</c:v>
                </c:pt>
              </c:numCache>
            </c:numRef>
          </c:val>
          <c:smooth val="0"/>
        </c:ser>
        <c:ser>
          <c:idx val="3"/>
          <c:order val="1"/>
          <c:tx>
            <c:v>Larson ($15/tonCO2, incemented @ $12.50/yr)</c:v>
          </c:tx>
          <c:spPr>
            <a:ln w="25400">
              <a:solidFill>
                <a:srgbClr val="00FFFF"/>
              </a:solidFill>
              <a:prstDash val="solid"/>
            </a:ln>
          </c:spPr>
          <c:marker>
            <c:symbol val="x"/>
            <c:size val="7"/>
            <c:spPr>
              <a:solidFill>
                <a:srgbClr val="00FFFF"/>
              </a:solidFill>
              <a:ln>
                <a:solidFill>
                  <a:srgbClr val="00FFFF"/>
                </a:solidFill>
                <a:prstDash val="solid"/>
              </a:ln>
            </c:spPr>
          </c:marker>
          <c:val>
            <c:numRef>
              <c:f>Graph_Oil!$I$46:$X$46</c:f>
              <c:numCache>
                <c:formatCode>_(* #,##0_);_(* \(#,##0\);_(* "-"??_);_(@_)</c:formatCode>
                <c:ptCount val="16"/>
                <c:pt idx="0">
                  <c:v>20275.414164397465</c:v>
                </c:pt>
                <c:pt idx="1">
                  <c:v>20310.541796050304</c:v>
                </c:pt>
                <c:pt idx="2">
                  <c:v>20345.669427703146</c:v>
                </c:pt>
                <c:pt idx="3">
                  <c:v>19501.139827015551</c:v>
                </c:pt>
                <c:pt idx="4">
                  <c:v>18645.204131471633</c:v>
                </c:pt>
                <c:pt idx="5">
                  <c:v>19165.946661645201</c:v>
                </c:pt>
                <c:pt idx="6">
                  <c:v>19079.198832002687</c:v>
                </c:pt>
                <c:pt idx="7">
                  <c:v>18789.824596164101</c:v>
                </c:pt>
                <c:pt idx="8">
                  <c:v>18566.444120288201</c:v>
                </c:pt>
                <c:pt idx="9">
                  <c:v>18299.578505679299</c:v>
                </c:pt>
                <c:pt idx="10">
                  <c:v>17994.4143102694</c:v>
                </c:pt>
                <c:pt idx="11">
                  <c:v>17655.798759814599</c:v>
                </c:pt>
                <c:pt idx="12">
                  <c:v>17288.255055770602</c:v>
                </c:pt>
                <c:pt idx="13">
                  <c:v>16895.995002396201</c:v>
                </c:pt>
                <c:pt idx="14">
                  <c:v>16482.930314451001</c:v>
                </c:pt>
                <c:pt idx="15">
                  <c:v>16052.6833953757</c:v>
                </c:pt>
              </c:numCache>
            </c:numRef>
          </c:val>
          <c:smooth val="0"/>
        </c:ser>
        <c:ser>
          <c:idx val="1"/>
          <c:order val="2"/>
          <c:tx>
            <c:v>Waxman-Markey without Offsets</c:v>
          </c:tx>
          <c:spPr>
            <a:ln w="12700">
              <a:solidFill>
                <a:srgbClr val="FF00FF"/>
              </a:solidFill>
              <a:prstDash val="solid"/>
            </a:ln>
          </c:spPr>
          <c:marker>
            <c:symbol val="x"/>
            <c:size val="7"/>
            <c:spPr>
              <a:solidFill>
                <a:srgbClr val="FF00FF"/>
              </a:solidFill>
              <a:ln>
                <a:solidFill>
                  <a:srgbClr val="FF00FF"/>
                </a:solidFill>
                <a:prstDash val="solid"/>
              </a:ln>
            </c:spPr>
          </c:marker>
          <c:val>
            <c:numRef>
              <c:f>Graph_Oil!$I$47:$X$47</c:f>
              <c:numCache>
                <c:formatCode>_(* #,##0_);_(* \(#,##0\);_(* "-"??_);_(@_)</c:formatCode>
                <c:ptCount val="16"/>
                <c:pt idx="0">
                  <c:v>20275.414164397465</c:v>
                </c:pt>
                <c:pt idx="1">
                  <c:v>20310.541796050304</c:v>
                </c:pt>
                <c:pt idx="2">
                  <c:v>20345.669427703146</c:v>
                </c:pt>
                <c:pt idx="3">
                  <c:v>19501.139827015551</c:v>
                </c:pt>
                <c:pt idx="4">
                  <c:v>18645.204131471633</c:v>
                </c:pt>
                <c:pt idx="5">
                  <c:v>19165.946661645201</c:v>
                </c:pt>
                <c:pt idx="6">
                  <c:v>19079.198832002687</c:v>
                </c:pt>
                <c:pt idx="7">
                  <c:v>18978.178222409999</c:v>
                </c:pt>
                <c:pt idx="8">
                  <c:v>18913.5308506334</c:v>
                </c:pt>
                <c:pt idx="9">
                  <c:v>18817.640478806901</c:v>
                </c:pt>
                <c:pt idx="10">
                  <c:v>18692.230644310599</c:v>
                </c:pt>
                <c:pt idx="11">
                  <c:v>18539.045154584401</c:v>
                </c:pt>
                <c:pt idx="12">
                  <c:v>18359.8380515555</c:v>
                </c:pt>
                <c:pt idx="13">
                  <c:v>18156.3641991439</c:v>
                </c:pt>
                <c:pt idx="14">
                  <c:v>17930.370533047299</c:v>
                </c:pt>
                <c:pt idx="15">
                  <c:v>17683.587996042799</c:v>
                </c:pt>
              </c:numCache>
            </c:numRef>
          </c:val>
          <c:smooth val="0"/>
        </c:ser>
        <c:ser>
          <c:idx val="2"/>
          <c:order val="3"/>
          <c:tx>
            <c:v>User-Selected Price</c:v>
          </c:tx>
          <c:val>
            <c:numRef>
              <c:f>Graph_Oil!$I$48:$X$48</c:f>
              <c:numCache>
                <c:formatCode>_(* #,##0_);_(* \(#,##0\);_(* "-"??_);_(@_)</c:formatCode>
                <c:ptCount val="16"/>
                <c:pt idx="0">
                  <c:v>20275.414164397465</c:v>
                </c:pt>
                <c:pt idx="1">
                  <c:v>20310.541796050304</c:v>
                </c:pt>
                <c:pt idx="2">
                  <c:v>20345.669427703146</c:v>
                </c:pt>
                <c:pt idx="3">
                  <c:v>19501.139827015551</c:v>
                </c:pt>
                <c:pt idx="4">
                  <c:v>18645.204131471633</c:v>
                </c:pt>
                <c:pt idx="5">
                  <c:v>19165.946661645201</c:v>
                </c:pt>
                <c:pt idx="6">
                  <c:v>19079.198832002687</c:v>
                </c:pt>
                <c:pt idx="7">
                  <c:v>18873.29146760044</c:v>
                </c:pt>
                <c:pt idx="8">
                  <c:v>18885.373471396342</c:v>
                </c:pt>
                <c:pt idx="9">
                  <c:v>18879.854481580951</c:v>
                </c:pt>
                <c:pt idx="10">
                  <c:v>18856.121309647417</c:v>
                </c:pt>
                <c:pt idx="11">
                  <c:v>18813.566427560894</c:v>
                </c:pt>
                <c:pt idx="12">
                  <c:v>18751.59123948518</c:v>
                </c:pt>
                <c:pt idx="13">
                  <c:v>18669.610094205556</c:v>
                </c:pt>
                <c:pt idx="14">
                  <c:v>18567.055125412913</c:v>
                </c:pt>
                <c:pt idx="15">
                  <c:v>18443.381999249035</c:v>
                </c:pt>
              </c:numCache>
            </c:numRef>
          </c:val>
          <c:smooth val="0"/>
        </c:ser>
        <c:dLbls>
          <c:showLegendKey val="0"/>
          <c:showVal val="0"/>
          <c:showCatName val="0"/>
          <c:showSerName val="0"/>
          <c:showPercent val="0"/>
          <c:showBubbleSize val="0"/>
        </c:dLbls>
        <c:marker val="1"/>
        <c:smooth val="0"/>
        <c:axId val="366205760"/>
        <c:axId val="366196744"/>
      </c:lineChart>
      <c:catAx>
        <c:axId val="366205760"/>
        <c:scaling>
          <c:orientation val="minMax"/>
        </c:scaling>
        <c:delete val="0"/>
        <c:axPos val="b"/>
        <c:numFmt formatCode="0" sourceLinked="1"/>
        <c:majorTickMark val="out"/>
        <c:minorTickMark val="none"/>
        <c:tickLblPos val="nextTo"/>
        <c:spPr>
          <a:ln w="3175">
            <a:solidFill>
              <a:srgbClr val="000000"/>
            </a:solidFill>
            <a:prstDash val="solid"/>
          </a:ln>
        </c:spPr>
        <c:txPr>
          <a:bodyPr rot="0" vert="horz"/>
          <a:lstStyle/>
          <a:p>
            <a:pPr>
              <a:defRPr sz="1025" b="1" i="0" u="none" strike="noStrike" baseline="0">
                <a:solidFill>
                  <a:srgbClr val="000000"/>
                </a:solidFill>
                <a:latin typeface="Arial"/>
                <a:ea typeface="Arial"/>
                <a:cs typeface="Arial"/>
              </a:defRPr>
            </a:pPr>
            <a:endParaRPr lang="en-US"/>
          </a:p>
        </c:txPr>
        <c:crossAx val="366196744"/>
        <c:crosses val="autoZero"/>
        <c:auto val="1"/>
        <c:lblAlgn val="ctr"/>
        <c:lblOffset val="100"/>
        <c:tickLblSkip val="1"/>
        <c:tickMarkSkip val="1"/>
        <c:noMultiLvlLbl val="0"/>
      </c:catAx>
      <c:valAx>
        <c:axId val="366196744"/>
        <c:scaling>
          <c:orientation val="minMax"/>
          <c:max val="24000"/>
          <c:min val="10000"/>
        </c:scaling>
        <c:delete val="0"/>
        <c:axPos val="l"/>
        <c:majorGridlines>
          <c:spPr>
            <a:ln w="3175">
              <a:solidFill>
                <a:srgbClr val="000000"/>
              </a:solidFill>
              <a:prstDash val="solid"/>
            </a:ln>
          </c:spPr>
        </c:majorGridlines>
        <c:title>
          <c:tx>
            <c:rich>
              <a:bodyPr/>
              <a:lstStyle/>
              <a:p>
                <a:pPr>
                  <a:defRPr sz="1075" b="1" i="0" u="none" strike="noStrike" baseline="0">
                    <a:solidFill>
                      <a:srgbClr val="000000"/>
                    </a:solidFill>
                    <a:latin typeface="Arial"/>
                    <a:ea typeface="Arial"/>
                    <a:cs typeface="Arial"/>
                  </a:defRPr>
                </a:pPr>
                <a:r>
                  <a:rPr lang="en-US"/>
                  <a:t>Million Tonnes CO2 (U.S.)</a:t>
                </a:r>
              </a:p>
            </c:rich>
          </c:tx>
          <c:layout>
            <c:manualLayout>
              <c:xMode val="edge"/>
              <c:yMode val="edge"/>
              <c:x val="2.980046459709778E-2"/>
              <c:y val="0.32629991134635661"/>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1200" b="0" i="0" u="none" strike="noStrike" baseline="0">
                <a:solidFill>
                  <a:srgbClr val="000000"/>
                </a:solidFill>
                <a:latin typeface="Arial"/>
                <a:ea typeface="Arial"/>
                <a:cs typeface="Arial"/>
              </a:defRPr>
            </a:pPr>
            <a:endParaRPr lang="en-US"/>
          </a:p>
        </c:txPr>
        <c:crossAx val="366205760"/>
        <c:crosses val="autoZero"/>
        <c:crossBetween val="midCat"/>
        <c:minorUnit val="500"/>
      </c:valAx>
      <c:spPr>
        <a:solidFill>
          <a:srgbClr val="C0C0C0"/>
        </a:solidFill>
        <a:ln w="12700">
          <a:solidFill>
            <a:srgbClr val="808080"/>
          </a:solidFill>
          <a:prstDash val="solid"/>
        </a:ln>
      </c:spPr>
    </c:plotArea>
    <c:legend>
      <c:legendPos val="r"/>
      <c:layout>
        <c:manualLayout>
          <c:xMode val="edge"/>
          <c:yMode val="edge"/>
          <c:x val="0.40459818384770913"/>
          <c:y val="0.60399386848690562"/>
          <c:w val="0.26551748272845238"/>
          <c:h val="0.25956756237417083"/>
        </c:manualLayout>
      </c:layout>
      <c:overlay val="0"/>
      <c:spPr>
        <a:solidFill>
          <a:srgbClr val="FFFFFF"/>
        </a:solidFill>
        <a:ln w="3175">
          <a:solidFill>
            <a:srgbClr val="000000"/>
          </a:solidFill>
          <a:prstDash val="solid"/>
        </a:ln>
      </c:spPr>
      <c:txPr>
        <a:bodyPr/>
        <a:lstStyle/>
        <a:p>
          <a:pPr>
            <a:defRPr sz="820" b="1"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n-US"/>
    </a:p>
  </c:txPr>
  <c:printSettings>
    <c:headerFooter alignWithMargins="0"/>
    <c:pageMargins b="1" l="0.75000000000000111" r="0.75000000000000111" t="1" header="0.5" footer="0.5"/>
    <c:pageSetup orientation="landscape"/>
  </c:printSettings>
  <c:userShapes r:id="rId1"/>
</c:chartSpace>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6</xdr:col>
      <xdr:colOff>314325</xdr:colOff>
      <xdr:row>77</xdr:row>
      <xdr:rowOff>95250</xdr:rowOff>
    </xdr:from>
    <xdr:to>
      <xdr:col>8</xdr:col>
      <xdr:colOff>628650</xdr:colOff>
      <xdr:row>77</xdr:row>
      <xdr:rowOff>133350</xdr:rowOff>
    </xdr:to>
    <xdr:sp macro="" textlink="">
      <xdr:nvSpPr>
        <xdr:cNvPr id="1582742" name="Line 7"/>
        <xdr:cNvSpPr>
          <a:spLocks noChangeShapeType="1"/>
        </xdr:cNvSpPr>
      </xdr:nvSpPr>
      <xdr:spPr bwMode="auto">
        <a:xfrm flipV="1">
          <a:off x="4448175" y="11620500"/>
          <a:ext cx="1724025" cy="38100"/>
        </a:xfrm>
        <a:prstGeom prst="line">
          <a:avLst/>
        </a:prstGeom>
        <a:noFill/>
        <a:ln w="9525">
          <a:solidFill>
            <a:srgbClr val="000000"/>
          </a:solidFill>
          <a:round/>
          <a:headEnd/>
          <a:tailEnd type="triangle" w="med" len="med"/>
        </a:ln>
      </xdr:spPr>
    </xdr:sp>
    <xdr:clientData/>
  </xdr:twoCellAnchor>
  <xdr:twoCellAnchor>
    <xdr:from>
      <xdr:col>6</xdr:col>
      <xdr:colOff>371475</xdr:colOff>
      <xdr:row>75</xdr:row>
      <xdr:rowOff>85725</xdr:rowOff>
    </xdr:from>
    <xdr:to>
      <xdr:col>8</xdr:col>
      <xdr:colOff>685800</xdr:colOff>
      <xdr:row>75</xdr:row>
      <xdr:rowOff>123825</xdr:rowOff>
    </xdr:to>
    <xdr:sp macro="" textlink="">
      <xdr:nvSpPr>
        <xdr:cNvPr id="1582743" name="Line 7"/>
        <xdr:cNvSpPr>
          <a:spLocks noChangeShapeType="1"/>
        </xdr:cNvSpPr>
      </xdr:nvSpPr>
      <xdr:spPr bwMode="auto">
        <a:xfrm flipV="1">
          <a:off x="4505325" y="11268075"/>
          <a:ext cx="1724025" cy="38100"/>
        </a:xfrm>
        <a:prstGeom prst="line">
          <a:avLst/>
        </a:prstGeom>
        <a:noFill/>
        <a:ln w="9525">
          <a:solidFill>
            <a:srgbClr val="000000"/>
          </a:solidFill>
          <a:round/>
          <a:headEnd/>
          <a:tailEnd type="triangle" w="med" len="med"/>
        </a:ln>
      </xdr:spPr>
    </xdr:sp>
    <xdr:clientData/>
  </xdr:twoCellAnchor>
  <xdr:twoCellAnchor>
    <xdr:from>
      <xdr:col>6</xdr:col>
      <xdr:colOff>600075</xdr:colOff>
      <xdr:row>84</xdr:row>
      <xdr:rowOff>95250</xdr:rowOff>
    </xdr:from>
    <xdr:to>
      <xdr:col>9</xdr:col>
      <xdr:colOff>209550</xdr:colOff>
      <xdr:row>84</xdr:row>
      <xdr:rowOff>133350</xdr:rowOff>
    </xdr:to>
    <xdr:sp macro="" textlink="">
      <xdr:nvSpPr>
        <xdr:cNvPr id="1582744" name="Line 7"/>
        <xdr:cNvSpPr>
          <a:spLocks noChangeShapeType="1"/>
        </xdr:cNvSpPr>
      </xdr:nvSpPr>
      <xdr:spPr bwMode="auto">
        <a:xfrm flipV="1">
          <a:off x="4733925" y="12820650"/>
          <a:ext cx="1724025" cy="38100"/>
        </a:xfrm>
        <a:prstGeom prst="line">
          <a:avLst/>
        </a:prstGeom>
        <a:noFill/>
        <a:ln w="9525">
          <a:solidFill>
            <a:srgbClr val="000000"/>
          </a:solidFill>
          <a:round/>
          <a:headEnd/>
          <a:tailEnd type="triangle" w="med" len="med"/>
        </a:ln>
      </xdr:spPr>
    </xdr:sp>
    <xdr:clientData/>
  </xdr:twoCellAnchor>
  <xdr:twoCellAnchor>
    <xdr:from>
      <xdr:col>9</xdr:col>
      <xdr:colOff>582930</xdr:colOff>
      <xdr:row>83</xdr:row>
      <xdr:rowOff>129540</xdr:rowOff>
    </xdr:from>
    <xdr:to>
      <xdr:col>11</xdr:col>
      <xdr:colOff>87630</xdr:colOff>
      <xdr:row>84</xdr:row>
      <xdr:rowOff>91440</xdr:rowOff>
    </xdr:to>
    <xdr:cxnSp macro="">
      <xdr:nvCxnSpPr>
        <xdr:cNvPr id="7" name="Straight Arrow Connector 6"/>
        <xdr:cNvCxnSpPr/>
      </xdr:nvCxnSpPr>
      <xdr:spPr>
        <a:xfrm flipH="1">
          <a:off x="6118860" y="12001500"/>
          <a:ext cx="838200" cy="13716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107</xdr:row>
      <xdr:rowOff>158115</xdr:rowOff>
    </xdr:from>
    <xdr:to>
      <xdr:col>7</xdr:col>
      <xdr:colOff>7620</xdr:colOff>
      <xdr:row>110</xdr:row>
      <xdr:rowOff>106</xdr:rowOff>
    </xdr:to>
    <xdr:cxnSp macro="">
      <xdr:nvCxnSpPr>
        <xdr:cNvPr id="10" name="Straight Connector 9"/>
        <xdr:cNvCxnSpPr/>
      </xdr:nvCxnSpPr>
      <xdr:spPr>
        <a:xfrm>
          <a:off x="4434840" y="17236440"/>
          <a:ext cx="7620" cy="358140"/>
        </a:xfrm>
        <a:prstGeom prst="line">
          <a:avLst/>
        </a:prstGeom>
        <a:ln w="3175">
          <a:no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47625</xdr:colOff>
      <xdr:row>10</xdr:row>
      <xdr:rowOff>123825</xdr:rowOff>
    </xdr:from>
    <xdr:to>
      <xdr:col>11</xdr:col>
      <xdr:colOff>447675</xdr:colOff>
      <xdr:row>44</xdr:row>
      <xdr:rowOff>19050</xdr:rowOff>
    </xdr:to>
    <xdr:graphicFrame macro="">
      <xdr:nvGraphicFramePr>
        <xdr:cNvPr id="1583814"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342900</xdr:colOff>
      <xdr:row>12</xdr:row>
      <xdr:rowOff>28575</xdr:rowOff>
    </xdr:from>
    <xdr:to>
      <xdr:col>17</xdr:col>
      <xdr:colOff>561975</xdr:colOff>
      <xdr:row>32</xdr:row>
      <xdr:rowOff>57150</xdr:rowOff>
    </xdr:to>
    <xdr:sp macro="" textlink="">
      <xdr:nvSpPr>
        <xdr:cNvPr id="1583815" name="Text Box 2"/>
        <xdr:cNvSpPr txBox="1">
          <a:spLocks noChangeArrowheads="1"/>
        </xdr:cNvSpPr>
      </xdr:nvSpPr>
      <xdr:spPr bwMode="auto">
        <a:xfrm>
          <a:off x="11077575" y="2085975"/>
          <a:ext cx="828675" cy="3457575"/>
        </a:xfrm>
        <a:prstGeom prst="rect">
          <a:avLst/>
        </a:prstGeom>
        <a:noFill/>
        <a:ln w="9525">
          <a:noFill/>
          <a:miter lim="800000"/>
          <a:headEnd/>
          <a:tailEnd/>
        </a:ln>
      </xdr:spPr>
    </xdr:sp>
    <xdr:clientData/>
  </xdr:twoCellAnchor>
  <xdr:twoCellAnchor editAs="oneCell">
    <xdr:from>
      <xdr:col>10</xdr:col>
      <xdr:colOff>76200</xdr:colOff>
      <xdr:row>33</xdr:row>
      <xdr:rowOff>104775</xdr:rowOff>
    </xdr:from>
    <xdr:to>
      <xdr:col>13</xdr:col>
      <xdr:colOff>19050</xdr:colOff>
      <xdr:row>37</xdr:row>
      <xdr:rowOff>9525</xdr:rowOff>
    </xdr:to>
    <xdr:sp macro="" textlink="">
      <xdr:nvSpPr>
        <xdr:cNvPr id="1583816" name="Text Box 3"/>
        <xdr:cNvSpPr txBox="1">
          <a:spLocks noChangeArrowheads="1"/>
        </xdr:cNvSpPr>
      </xdr:nvSpPr>
      <xdr:spPr bwMode="auto">
        <a:xfrm>
          <a:off x="7153275" y="5762625"/>
          <a:ext cx="1771650" cy="590550"/>
        </a:xfrm>
        <a:prstGeom prst="rect">
          <a:avLst/>
        </a:prstGeom>
        <a:noFill/>
        <a:ln w="9525">
          <a:noFill/>
          <a:miter lim="800000"/>
          <a:headEnd/>
          <a:tailEnd/>
        </a:ln>
      </xdr:spPr>
    </xdr:sp>
    <xdr:clientData/>
  </xdr:twoCellAnchor>
  <xdr:twoCellAnchor editAs="oneCell">
    <xdr:from>
      <xdr:col>2</xdr:col>
      <xdr:colOff>544831</xdr:colOff>
      <xdr:row>27</xdr:row>
      <xdr:rowOff>91440</xdr:rowOff>
    </xdr:from>
    <xdr:to>
      <xdr:col>5</xdr:col>
      <xdr:colOff>371447</xdr:colOff>
      <xdr:row>30</xdr:row>
      <xdr:rowOff>121920</xdr:rowOff>
    </xdr:to>
    <xdr:sp macro="" textlink="">
      <xdr:nvSpPr>
        <xdr:cNvPr id="1032" name="Text Box 8"/>
        <xdr:cNvSpPr txBox="1">
          <a:spLocks noChangeArrowheads="1"/>
        </xdr:cNvSpPr>
      </xdr:nvSpPr>
      <xdr:spPr bwMode="auto">
        <a:xfrm>
          <a:off x="1548766" y="4823460"/>
          <a:ext cx="2510754" cy="556260"/>
        </a:xfrm>
        <a:prstGeom prst="rect">
          <a:avLst/>
        </a:prstGeom>
        <a:noFill/>
        <a:ln w="9525">
          <a:noFill/>
          <a:miter lim="800000"/>
          <a:headEnd/>
          <a:tailEnd/>
        </a:ln>
      </xdr:spPr>
      <xdr:txBody>
        <a:bodyPr vertOverflow="clip" wrap="square" lIns="27432" tIns="27432" rIns="0" bIns="0" anchor="t" upright="1"/>
        <a:lstStyle/>
        <a:p>
          <a:pPr algn="l" rtl="0">
            <a:defRPr sz="1000"/>
          </a:pPr>
          <a:r>
            <a:rPr lang="en-US" sz="1100" b="1" i="0" u="none" strike="noStrike" baseline="0">
              <a:solidFill>
                <a:srgbClr val="FF0000"/>
              </a:solidFill>
              <a:latin typeface="Arial"/>
              <a:cs typeface="Arial"/>
            </a:rPr>
            <a:t>2009 emissions were 9.1% less than 2005 emissions and 9.4% less than 2007 emissions</a:t>
          </a:r>
          <a:r>
            <a:rPr lang="en-US" sz="1100" b="0" i="0" u="none" strike="noStrike" baseline="0">
              <a:solidFill>
                <a:srgbClr val="FF0000"/>
              </a:solidFill>
              <a:latin typeface="Arial"/>
              <a:cs typeface="Arial"/>
            </a:rPr>
            <a:t>.</a:t>
          </a:r>
        </a:p>
      </xdr:txBody>
    </xdr:sp>
    <xdr:clientData/>
  </xdr:twoCellAnchor>
  <xdr:twoCellAnchor editAs="oneCell">
    <xdr:from>
      <xdr:col>5</xdr:col>
      <xdr:colOff>535305</xdr:colOff>
      <xdr:row>27</xdr:row>
      <xdr:rowOff>99060</xdr:rowOff>
    </xdr:from>
    <xdr:to>
      <xdr:col>11</xdr:col>
      <xdr:colOff>70462</xdr:colOff>
      <xdr:row>30</xdr:row>
      <xdr:rowOff>158238</xdr:rowOff>
    </xdr:to>
    <xdr:sp macro="" textlink="">
      <xdr:nvSpPr>
        <xdr:cNvPr id="1033" name="Text Box 9"/>
        <xdr:cNvSpPr txBox="1">
          <a:spLocks noChangeArrowheads="1"/>
        </xdr:cNvSpPr>
      </xdr:nvSpPr>
      <xdr:spPr bwMode="auto">
        <a:xfrm>
          <a:off x="4213860" y="4831080"/>
          <a:ext cx="2865120" cy="594360"/>
        </a:xfrm>
        <a:prstGeom prst="rect">
          <a:avLst/>
        </a:prstGeom>
        <a:noFill/>
        <a:ln w="9525">
          <a:noFill/>
          <a:miter lim="800000"/>
          <a:headEnd/>
          <a:tailEnd/>
        </a:ln>
      </xdr:spPr>
      <xdr:txBody>
        <a:bodyPr vertOverflow="clip" wrap="square" lIns="27432" tIns="27432" rIns="0" bIns="0" anchor="t" upright="1"/>
        <a:lstStyle/>
        <a:p>
          <a:pPr algn="l" rtl="0">
            <a:defRPr sz="1000"/>
          </a:pPr>
          <a:r>
            <a:rPr lang="en-US" sz="1100" b="1" i="0" u="none" strike="noStrike" baseline="0">
              <a:solidFill>
                <a:srgbClr val="FF0000"/>
              </a:solidFill>
              <a:latin typeface="Arial"/>
              <a:cs typeface="Arial"/>
            </a:rPr>
            <a:t>Projected 2020 emissions with Larson carbon tax are 29% less than actual 2005 and 30% less than no-action 2020.</a:t>
          </a:r>
        </a:p>
      </xdr:txBody>
    </xdr:sp>
    <xdr:clientData/>
  </xdr:twoCellAnchor>
</xdr:wsDr>
</file>

<file path=xl/drawings/drawing3.xml><?xml version="1.0" encoding="utf-8"?>
<c:userShapes xmlns:c="http://schemas.openxmlformats.org/drawingml/2006/chart">
  <cdr:relSizeAnchor xmlns:cdr="http://schemas.openxmlformats.org/drawingml/2006/chartDrawing">
    <cdr:from>
      <cdr:x>0.02695</cdr:x>
      <cdr:y>0.4578</cdr:y>
    </cdr:from>
    <cdr:to>
      <cdr:x>0.03978</cdr:x>
      <cdr:y>0.51123</cdr:y>
    </cdr:to>
    <cdr:sp macro="" textlink="">
      <cdr:nvSpPr>
        <cdr:cNvPr id="4099" name="Text Box 3"/>
        <cdr:cNvSpPr txBox="1">
          <a:spLocks xmlns:a="http://schemas.openxmlformats.org/drawingml/2006/main" noChangeArrowheads="1"/>
        </cdr:cNvSpPr>
      </cdr:nvSpPr>
      <cdr:spPr bwMode="auto">
        <a:xfrm xmlns:a="http://schemas.openxmlformats.org/drawingml/2006/main">
          <a:off x="203419" y="2216366"/>
          <a:ext cx="94479" cy="2671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0.03681</cdr:x>
      <cdr:y>0.46638</cdr:y>
    </cdr:from>
    <cdr:to>
      <cdr:x>0.55649</cdr:x>
      <cdr:y>0.57938</cdr:y>
    </cdr:to>
    <cdr:sp macro="" textlink="">
      <cdr:nvSpPr>
        <cdr:cNvPr id="4100" name="Text Box 4"/>
        <cdr:cNvSpPr txBox="1">
          <a:spLocks xmlns:a="http://schemas.openxmlformats.org/drawingml/2006/main" noChangeArrowheads="1"/>
        </cdr:cNvSpPr>
      </cdr:nvSpPr>
      <cdr:spPr bwMode="auto">
        <a:xfrm xmlns:a="http://schemas.openxmlformats.org/drawingml/2006/main">
          <a:off x="270644" y="2258288"/>
          <a:ext cx="3819111" cy="56175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userShapes>
</file>

<file path=xl/drawings/drawing4.xml><?xml version="1.0" encoding="utf-8"?>
<xdr:wsDr xmlns:xdr="http://schemas.openxmlformats.org/drawingml/2006/spreadsheetDrawing" xmlns:a="http://schemas.openxmlformats.org/drawingml/2006/main">
  <xdr:twoCellAnchor>
    <xdr:from>
      <xdr:col>1</xdr:col>
      <xdr:colOff>47625</xdr:colOff>
      <xdr:row>4</xdr:row>
      <xdr:rowOff>123825</xdr:rowOff>
    </xdr:from>
    <xdr:to>
      <xdr:col>11</xdr:col>
      <xdr:colOff>447675</xdr:colOff>
      <xdr:row>38</xdr:row>
      <xdr:rowOff>19050</xdr:rowOff>
    </xdr:to>
    <xdr:graphicFrame macro="">
      <xdr:nvGraphicFramePr>
        <xdr:cNvPr id="1504133"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19</xdr:col>
      <xdr:colOff>342900</xdr:colOff>
      <xdr:row>84</xdr:row>
      <xdr:rowOff>28575</xdr:rowOff>
    </xdr:from>
    <xdr:to>
      <xdr:col>21</xdr:col>
      <xdr:colOff>57150</xdr:colOff>
      <xdr:row>105</xdr:row>
      <xdr:rowOff>114300</xdr:rowOff>
    </xdr:to>
    <xdr:sp macro="" textlink="">
      <xdr:nvSpPr>
        <xdr:cNvPr id="1504134" name="Text Box 2"/>
        <xdr:cNvSpPr txBox="1">
          <a:spLocks noChangeArrowheads="1"/>
        </xdr:cNvSpPr>
      </xdr:nvSpPr>
      <xdr:spPr bwMode="auto">
        <a:xfrm>
          <a:off x="13249275" y="14430375"/>
          <a:ext cx="933450" cy="3686175"/>
        </a:xfrm>
        <a:prstGeom prst="rect">
          <a:avLst/>
        </a:prstGeom>
        <a:noFill/>
        <a:ln w="9525">
          <a:noFill/>
          <a:miter lim="800000"/>
          <a:headEnd/>
          <a:tailEnd/>
        </a:ln>
      </xdr:spPr>
    </xdr:sp>
    <xdr:clientData/>
  </xdr:twoCellAnchor>
  <xdr:twoCellAnchor editAs="oneCell">
    <xdr:from>
      <xdr:col>10</xdr:col>
      <xdr:colOff>76200</xdr:colOff>
      <xdr:row>105</xdr:row>
      <xdr:rowOff>104775</xdr:rowOff>
    </xdr:from>
    <xdr:to>
      <xdr:col>13</xdr:col>
      <xdr:colOff>342900</xdr:colOff>
      <xdr:row>109</xdr:row>
      <xdr:rowOff>95250</xdr:rowOff>
    </xdr:to>
    <xdr:sp macro="" textlink="">
      <xdr:nvSpPr>
        <xdr:cNvPr id="1504135" name="Text Box 3"/>
        <xdr:cNvSpPr txBox="1">
          <a:spLocks noChangeArrowheads="1"/>
        </xdr:cNvSpPr>
      </xdr:nvSpPr>
      <xdr:spPr bwMode="auto">
        <a:xfrm>
          <a:off x="7524750" y="18107025"/>
          <a:ext cx="2085975" cy="676275"/>
        </a:xfrm>
        <a:prstGeom prst="rect">
          <a:avLst/>
        </a:prstGeom>
        <a:noFill/>
        <a:ln w="9525">
          <a:noFill/>
          <a:miter lim="800000"/>
          <a:headEnd/>
          <a:tailEnd/>
        </a:ln>
      </xdr:spPr>
    </xdr:sp>
    <xdr:clientData/>
  </xdr:twoCellAnchor>
  <xdr:twoCellAnchor editAs="oneCell">
    <xdr:from>
      <xdr:col>2</xdr:col>
      <xdr:colOff>544831</xdr:colOff>
      <xdr:row>19</xdr:row>
      <xdr:rowOff>30480</xdr:rowOff>
    </xdr:from>
    <xdr:to>
      <xdr:col>5</xdr:col>
      <xdr:colOff>32355</xdr:colOff>
      <xdr:row>23</xdr:row>
      <xdr:rowOff>144780</xdr:rowOff>
    </xdr:to>
    <xdr:sp macro="" textlink="">
      <xdr:nvSpPr>
        <xdr:cNvPr id="8" name="Text Box 8"/>
        <xdr:cNvSpPr txBox="1">
          <a:spLocks noChangeArrowheads="1"/>
        </xdr:cNvSpPr>
      </xdr:nvSpPr>
      <xdr:spPr bwMode="auto">
        <a:xfrm>
          <a:off x="1548766" y="3360420"/>
          <a:ext cx="2200274" cy="815340"/>
        </a:xfrm>
        <a:prstGeom prst="rect">
          <a:avLst/>
        </a:prstGeom>
        <a:noFill/>
        <a:ln w="9525">
          <a:noFill/>
          <a:miter lim="800000"/>
          <a:headEnd/>
          <a:tailEnd/>
        </a:ln>
      </xdr:spPr>
      <xdr:txBody>
        <a:bodyPr vertOverflow="clip" wrap="square" lIns="27432" tIns="27432" rIns="0" bIns="0" anchor="t" upright="1"/>
        <a:lstStyle/>
        <a:p>
          <a:pPr algn="l" rtl="0">
            <a:defRPr sz="1000"/>
          </a:pPr>
          <a:r>
            <a:rPr lang="en-US" sz="1100" b="1" i="0" u="none" strike="noStrike" baseline="0">
              <a:solidFill>
                <a:srgbClr val="FF0000"/>
              </a:solidFill>
              <a:latin typeface="Arial"/>
              <a:cs typeface="Arial"/>
            </a:rPr>
            <a:t>2009 oil requirements emissions were 8.0% less than 2005 requirements and 8.4% less than 2007 requirements</a:t>
          </a:r>
          <a:r>
            <a:rPr lang="en-US" sz="1100" b="0" i="0" u="none" strike="noStrike" baseline="0">
              <a:solidFill>
                <a:srgbClr val="FF0000"/>
              </a:solidFill>
              <a:latin typeface="Arial"/>
              <a:cs typeface="Arial"/>
            </a:rPr>
            <a:t>.</a:t>
          </a:r>
        </a:p>
      </xdr:txBody>
    </xdr:sp>
    <xdr:clientData/>
  </xdr:twoCellAnchor>
  <xdr:twoCellAnchor editAs="oneCell">
    <xdr:from>
      <xdr:col>4</xdr:col>
      <xdr:colOff>293370</xdr:colOff>
      <xdr:row>12</xdr:row>
      <xdr:rowOff>38100</xdr:rowOff>
    </xdr:from>
    <xdr:to>
      <xdr:col>9</xdr:col>
      <xdr:colOff>520051</xdr:colOff>
      <xdr:row>16</xdr:row>
      <xdr:rowOff>30480</xdr:rowOff>
    </xdr:to>
    <xdr:sp macro="" textlink="">
      <xdr:nvSpPr>
        <xdr:cNvPr id="9" name="Text Box 9"/>
        <xdr:cNvSpPr txBox="1">
          <a:spLocks noChangeArrowheads="1"/>
        </xdr:cNvSpPr>
      </xdr:nvSpPr>
      <xdr:spPr bwMode="auto">
        <a:xfrm>
          <a:off x="3108960" y="2141220"/>
          <a:ext cx="3634740" cy="693420"/>
        </a:xfrm>
        <a:prstGeom prst="rect">
          <a:avLst/>
        </a:prstGeom>
        <a:noFill/>
        <a:ln w="9525">
          <a:noFill/>
          <a:miter lim="800000"/>
          <a:headEnd/>
          <a:tailEnd/>
        </a:ln>
      </xdr:spPr>
      <xdr:txBody>
        <a:bodyPr vertOverflow="clip" wrap="square" lIns="27432" tIns="27432" rIns="0" bIns="0" anchor="t" upright="1"/>
        <a:lstStyle/>
        <a:p>
          <a:pPr algn="l" rtl="0">
            <a:defRPr sz="1000"/>
          </a:pPr>
          <a:r>
            <a:rPr lang="en-US" sz="1100" b="1" i="0" u="none" strike="noStrike" baseline="0">
              <a:solidFill>
                <a:srgbClr val="FF0000"/>
              </a:solidFill>
              <a:latin typeface="Arial"/>
              <a:cs typeface="Arial"/>
            </a:rPr>
            <a:t>Projected 2020 oil requirements with Larson carbon tax are 21% less than actual 2005 and 21% less than projected for no-action 2020.</a:t>
          </a:r>
        </a:p>
      </xdr:txBody>
    </xdr:sp>
    <xdr:clientData/>
  </xdr:twoCellAnchor>
</xdr:wsDr>
</file>

<file path=xl/drawings/drawing5.xml><?xml version="1.0" encoding="utf-8"?>
<c:userShapes xmlns:c="http://schemas.openxmlformats.org/drawingml/2006/chart">
  <cdr:relSizeAnchor xmlns:cdr="http://schemas.openxmlformats.org/drawingml/2006/chartDrawing">
    <cdr:from>
      <cdr:x>0.0272</cdr:x>
      <cdr:y>0.45878</cdr:y>
    </cdr:from>
    <cdr:to>
      <cdr:x>0.03978</cdr:x>
      <cdr:y>0.51221</cdr:y>
    </cdr:to>
    <cdr:sp macro="" textlink="">
      <cdr:nvSpPr>
        <cdr:cNvPr id="4099" name="Text Box 3"/>
        <cdr:cNvSpPr txBox="1">
          <a:spLocks xmlns:a="http://schemas.openxmlformats.org/drawingml/2006/main" noChangeArrowheads="1"/>
        </cdr:cNvSpPr>
      </cdr:nvSpPr>
      <cdr:spPr bwMode="auto">
        <a:xfrm xmlns:a="http://schemas.openxmlformats.org/drawingml/2006/main">
          <a:off x="203419" y="2216366"/>
          <a:ext cx="94479" cy="2671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0.0368</cdr:x>
      <cdr:y>0.46785</cdr:y>
    </cdr:from>
    <cdr:to>
      <cdr:x>0.55674</cdr:x>
      <cdr:y>0.58011</cdr:y>
    </cdr:to>
    <cdr:sp macro="" textlink="">
      <cdr:nvSpPr>
        <cdr:cNvPr id="4100" name="Text Box 4"/>
        <cdr:cNvSpPr txBox="1">
          <a:spLocks xmlns:a="http://schemas.openxmlformats.org/drawingml/2006/main" noChangeArrowheads="1"/>
        </cdr:cNvSpPr>
      </cdr:nvSpPr>
      <cdr:spPr bwMode="auto">
        <a:xfrm xmlns:a="http://schemas.openxmlformats.org/drawingml/2006/main">
          <a:off x="270644" y="2258288"/>
          <a:ext cx="3819111" cy="56175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userShapes>
</file>

<file path=xl/drawings/drawing6.xml><?xml version="1.0" encoding="utf-8"?>
<xdr:wsDr xmlns:xdr="http://schemas.openxmlformats.org/drawingml/2006/spreadsheetDrawing" xmlns:a="http://schemas.openxmlformats.org/drawingml/2006/main">
  <xdr:twoCellAnchor>
    <xdr:from>
      <xdr:col>14</xdr:col>
      <xdr:colOff>542925</xdr:colOff>
      <xdr:row>7</xdr:row>
      <xdr:rowOff>114300</xdr:rowOff>
    </xdr:from>
    <xdr:to>
      <xdr:col>15</xdr:col>
      <xdr:colOff>19050</xdr:colOff>
      <xdr:row>10</xdr:row>
      <xdr:rowOff>57150</xdr:rowOff>
    </xdr:to>
    <xdr:sp macro="" textlink="">
      <xdr:nvSpPr>
        <xdr:cNvPr id="17228" name="Line 2"/>
        <xdr:cNvSpPr>
          <a:spLocks noChangeShapeType="1"/>
        </xdr:cNvSpPr>
      </xdr:nvSpPr>
      <xdr:spPr bwMode="auto">
        <a:xfrm flipH="1">
          <a:off x="8191500" y="1314450"/>
          <a:ext cx="114300" cy="457200"/>
        </a:xfrm>
        <a:prstGeom prst="line">
          <a:avLst/>
        </a:prstGeom>
        <a:noFill/>
        <a:ln w="9525">
          <a:solidFill>
            <a:srgbClr val="000000"/>
          </a:solidFill>
          <a:round/>
          <a:headEnd/>
          <a:tailEnd type="triangle" w="med" len="me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www.eia.doe.gov/emeu/mer/append_a.html,%20Table%20A3." TargetMode="Externa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9.bin"/><Relationship Id="rId1" Type="http://schemas.openxmlformats.org/officeDocument/2006/relationships/hyperlink" Target="http://www.epa.gov/climatechange/emissions/usgginv_archive.html"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63"/>
  <sheetViews>
    <sheetView tabSelected="1" topLeftCell="U146" zoomScaleNormal="100" workbookViewId="0">
      <selection activeCell="AD157" sqref="AD157:AL157"/>
    </sheetView>
  </sheetViews>
  <sheetFormatPr defaultColWidth="10.28515625" defaultRowHeight="13.9" customHeight="1" x14ac:dyDescent="0.2"/>
  <cols>
    <col min="1" max="1" width="2.5703125" customWidth="1"/>
    <col min="2" max="2" width="16.42578125" customWidth="1"/>
    <col min="3" max="3" width="11.28515625" customWidth="1"/>
    <col min="4" max="12" width="10.5703125" customWidth="1"/>
    <col min="13" max="13" width="10.5703125" style="30" customWidth="1"/>
    <col min="14" max="15" width="10.5703125" style="84" customWidth="1"/>
    <col min="16" max="39" width="10.28515625" customWidth="1"/>
    <col min="40" max="40" width="10.5703125" style="7" customWidth="1"/>
  </cols>
  <sheetData>
    <row r="1" spans="2:40" s="9" customFormat="1" ht="13.9" customHeight="1" x14ac:dyDescent="0.25">
      <c r="B1" s="70" t="s">
        <v>575</v>
      </c>
      <c r="I1" s="267" t="s">
        <v>431</v>
      </c>
      <c r="J1" s="176">
        <v>40823</v>
      </c>
      <c r="N1" s="176"/>
      <c r="O1" s="176"/>
      <c r="AB1" s="42"/>
      <c r="AN1" s="106">
        <f>ROW()</f>
        <v>1</v>
      </c>
    </row>
    <row r="2" spans="2:40" s="9" customFormat="1" ht="13.9" customHeight="1" x14ac:dyDescent="0.2">
      <c r="L2" s="401" t="s">
        <v>611</v>
      </c>
      <c r="M2" s="402"/>
      <c r="N2" s="402"/>
      <c r="O2" s="402"/>
      <c r="P2" s="402"/>
      <c r="Q2" s="402"/>
      <c r="R2" s="402"/>
      <c r="S2" s="402"/>
      <c r="T2" s="402"/>
      <c r="U2" s="403"/>
      <c r="AB2" s="42"/>
      <c r="AN2" s="106">
        <f>ROW()</f>
        <v>2</v>
      </c>
    </row>
    <row r="3" spans="2:40" s="9" customFormat="1" ht="13.9" customHeight="1" x14ac:dyDescent="0.2">
      <c r="B3" s="9" t="s">
        <v>430</v>
      </c>
      <c r="L3" s="404"/>
      <c r="M3" s="405"/>
      <c r="N3" s="405"/>
      <c r="O3" s="405"/>
      <c r="P3" s="405"/>
      <c r="Q3" s="405"/>
      <c r="R3" s="405"/>
      <c r="S3" s="405"/>
      <c r="T3" s="405"/>
      <c r="U3" s="406"/>
      <c r="AB3" s="42"/>
      <c r="AN3" s="106">
        <f>ROW()</f>
        <v>3</v>
      </c>
    </row>
    <row r="4" spans="2:40" s="9" customFormat="1" ht="13.9" customHeight="1" x14ac:dyDescent="0.2">
      <c r="L4" s="404"/>
      <c r="M4" s="405"/>
      <c r="N4" s="405"/>
      <c r="O4" s="405"/>
      <c r="P4" s="405"/>
      <c r="Q4" s="405"/>
      <c r="R4" s="405"/>
      <c r="S4" s="405"/>
      <c r="T4" s="405"/>
      <c r="U4" s="406"/>
      <c r="AB4" s="42"/>
      <c r="AN4" s="106">
        <f>ROW()</f>
        <v>4</v>
      </c>
    </row>
    <row r="5" spans="2:40" s="9" customFormat="1" ht="13.9" customHeight="1" x14ac:dyDescent="0.2">
      <c r="B5" s="390" t="s">
        <v>576</v>
      </c>
      <c r="C5" s="390"/>
      <c r="D5" s="390"/>
      <c r="E5" s="390"/>
      <c r="F5" s="390"/>
      <c r="G5" s="390"/>
      <c r="H5" s="390"/>
      <c r="I5" s="390"/>
      <c r="J5" s="390"/>
      <c r="L5" s="361" t="s">
        <v>621</v>
      </c>
      <c r="M5" s="358"/>
      <c r="N5" s="358"/>
      <c r="O5" s="358"/>
      <c r="P5" s="358"/>
      <c r="Q5" s="358"/>
      <c r="R5" s="358"/>
      <c r="S5" s="358"/>
      <c r="T5" s="358"/>
      <c r="U5" s="359"/>
      <c r="AB5" s="42"/>
      <c r="AN5" s="106">
        <f>ROW()</f>
        <v>5</v>
      </c>
    </row>
    <row r="6" spans="2:40" s="9" customFormat="1" ht="13.9" customHeight="1" x14ac:dyDescent="0.2">
      <c r="B6" s="390"/>
      <c r="C6" s="390"/>
      <c r="D6" s="390"/>
      <c r="E6" s="390"/>
      <c r="F6" s="390"/>
      <c r="G6" s="390"/>
      <c r="H6" s="390"/>
      <c r="I6" s="390"/>
      <c r="J6" s="390"/>
      <c r="L6" s="352">
        <v>1</v>
      </c>
      <c r="M6" s="356" t="s">
        <v>623</v>
      </c>
      <c r="N6" s="356"/>
      <c r="O6" s="362"/>
      <c r="P6" s="362"/>
      <c r="Q6" s="362"/>
      <c r="R6" s="362"/>
      <c r="S6" s="362"/>
      <c r="T6" s="362"/>
      <c r="U6" s="363"/>
      <c r="AB6" s="42"/>
      <c r="AN6" s="106">
        <f>ROW()</f>
        <v>6</v>
      </c>
    </row>
    <row r="7" spans="2:40" s="9" customFormat="1" ht="13.9" customHeight="1" x14ac:dyDescent="0.2">
      <c r="L7" s="352">
        <v>2</v>
      </c>
      <c r="M7" s="353" t="s">
        <v>624</v>
      </c>
      <c r="N7" s="356"/>
      <c r="O7" s="362"/>
      <c r="P7" s="362"/>
      <c r="Q7" s="362"/>
      <c r="R7" s="362"/>
      <c r="S7" s="362"/>
      <c r="T7" s="362"/>
      <c r="U7" s="363"/>
      <c r="AB7" s="42"/>
      <c r="AN7" s="106">
        <f>ROW()</f>
        <v>7</v>
      </c>
    </row>
    <row r="8" spans="2:40" s="9" customFormat="1" ht="13.9" customHeight="1" x14ac:dyDescent="0.2">
      <c r="B8" s="9" t="s">
        <v>448</v>
      </c>
      <c r="L8" s="352">
        <v>3</v>
      </c>
      <c r="M8" s="356" t="s">
        <v>625</v>
      </c>
      <c r="N8" s="353"/>
      <c r="O8" s="354"/>
      <c r="P8" s="354"/>
      <c r="Q8" s="362"/>
      <c r="R8" s="362"/>
      <c r="S8" s="362"/>
      <c r="T8" s="362"/>
      <c r="U8" s="363"/>
      <c r="AB8" s="42"/>
      <c r="AN8" s="106">
        <f>ROW()</f>
        <v>8</v>
      </c>
    </row>
    <row r="9" spans="2:40" s="9" customFormat="1" ht="13.9" customHeight="1" x14ac:dyDescent="0.2">
      <c r="L9" s="352">
        <v>4</v>
      </c>
      <c r="M9" s="356" t="s">
        <v>626</v>
      </c>
      <c r="N9" s="353"/>
      <c r="O9" s="354"/>
      <c r="P9" s="354"/>
      <c r="Q9" s="362"/>
      <c r="R9" s="362"/>
      <c r="S9" s="362"/>
      <c r="T9" s="362"/>
      <c r="U9" s="363"/>
      <c r="AB9" s="42"/>
      <c r="AN9" s="106">
        <f>ROW()</f>
        <v>9</v>
      </c>
    </row>
    <row r="10" spans="2:40" s="9" customFormat="1" ht="13.9" customHeight="1" x14ac:dyDescent="0.2">
      <c r="B10" s="418" t="s">
        <v>447</v>
      </c>
      <c r="C10" s="418"/>
      <c r="D10" s="418"/>
      <c r="E10" s="418"/>
      <c r="F10" s="418"/>
      <c r="G10" s="418"/>
      <c r="H10" s="418"/>
      <c r="I10" s="418"/>
      <c r="J10" s="418"/>
      <c r="L10" s="352">
        <v>5</v>
      </c>
      <c r="M10" s="353" t="s">
        <v>627</v>
      </c>
      <c r="N10" s="353"/>
      <c r="O10" s="354"/>
      <c r="P10" s="354"/>
      <c r="Q10" s="358"/>
      <c r="R10" s="358"/>
      <c r="S10" s="358"/>
      <c r="T10" s="358"/>
      <c r="U10" s="359"/>
      <c r="AB10" s="42"/>
      <c r="AN10" s="106">
        <f>ROW()</f>
        <v>10</v>
      </c>
    </row>
    <row r="11" spans="2:40" s="9" customFormat="1" ht="13.9" customHeight="1" x14ac:dyDescent="0.2">
      <c r="B11" s="418"/>
      <c r="C11" s="418"/>
      <c r="D11" s="418"/>
      <c r="E11" s="418"/>
      <c r="F11" s="418"/>
      <c r="G11" s="418"/>
      <c r="H11" s="418"/>
      <c r="I11" s="418"/>
      <c r="J11" s="418"/>
      <c r="K11" s="281"/>
      <c r="L11" s="352">
        <v>6</v>
      </c>
      <c r="M11" s="353" t="s">
        <v>628</v>
      </c>
      <c r="N11" s="353"/>
      <c r="O11" s="354"/>
      <c r="P11" s="354"/>
      <c r="Q11" s="358"/>
      <c r="R11" s="358"/>
      <c r="S11" s="358"/>
      <c r="T11" s="358"/>
      <c r="U11" s="359"/>
      <c r="AB11" s="42"/>
      <c r="AN11" s="106">
        <f>ROW()</f>
        <v>11</v>
      </c>
    </row>
    <row r="12" spans="2:40" s="9" customFormat="1" ht="13.9" customHeight="1" x14ac:dyDescent="0.2">
      <c r="B12" s="418"/>
      <c r="C12" s="418"/>
      <c r="D12" s="418"/>
      <c r="E12" s="418"/>
      <c r="F12" s="418"/>
      <c r="G12" s="418"/>
      <c r="H12" s="418"/>
      <c r="I12" s="418"/>
      <c r="J12" s="418"/>
      <c r="K12" s="281"/>
      <c r="L12" s="352">
        <v>7</v>
      </c>
      <c r="M12" s="357" t="s">
        <v>629</v>
      </c>
      <c r="N12" s="356"/>
      <c r="O12" s="362"/>
      <c r="P12" s="362"/>
      <c r="Q12" s="358"/>
      <c r="R12" s="358"/>
      <c r="S12" s="358"/>
      <c r="T12" s="358"/>
      <c r="U12" s="359"/>
      <c r="AB12" s="42"/>
      <c r="AN12" s="106">
        <f>ROW()</f>
        <v>12</v>
      </c>
    </row>
    <row r="13" spans="2:40" s="9" customFormat="1" ht="13.9" customHeight="1" x14ac:dyDescent="0.2">
      <c r="B13" s="280" t="s">
        <v>443</v>
      </c>
      <c r="C13" s="268"/>
      <c r="D13" s="268"/>
      <c r="E13" s="268"/>
      <c r="F13" s="268"/>
      <c r="G13" s="268"/>
      <c r="H13" s="268"/>
      <c r="I13" s="268"/>
      <c r="J13" s="268"/>
      <c r="K13" s="210"/>
      <c r="L13" s="361" t="s">
        <v>622</v>
      </c>
      <c r="M13" s="358"/>
      <c r="N13" s="358"/>
      <c r="O13" s="358"/>
      <c r="P13" s="358"/>
      <c r="Q13" s="358"/>
      <c r="R13" s="358"/>
      <c r="S13" s="358"/>
      <c r="T13" s="358"/>
      <c r="U13" s="359"/>
      <c r="AB13" s="42"/>
      <c r="AN13" s="106">
        <f>ROW()</f>
        <v>13</v>
      </c>
    </row>
    <row r="14" spans="2:40" s="9" customFormat="1" ht="13.9" customHeight="1" x14ac:dyDescent="0.2">
      <c r="B14" s="1"/>
      <c r="L14" s="352">
        <v>1</v>
      </c>
      <c r="M14" s="360" t="s">
        <v>630</v>
      </c>
      <c r="N14" s="362"/>
      <c r="O14" s="362"/>
      <c r="P14" s="362"/>
      <c r="Q14" s="362"/>
      <c r="R14" s="362"/>
      <c r="S14" s="362"/>
      <c r="T14" s="362"/>
      <c r="U14" s="363"/>
      <c r="AB14" s="42"/>
      <c r="AN14" s="106">
        <f>ROW()</f>
        <v>14</v>
      </c>
    </row>
    <row r="15" spans="2:40" ht="13.9" customHeight="1" x14ac:dyDescent="0.2">
      <c r="B15" s="420" t="str">
        <f>CONCATENATE("To bypass Summary explanations and run model immediately with your inputs, Scroll Down to Row ",AN76, " and follow instructions.")</f>
        <v>To bypass Summary explanations and run model immediately with your inputs, Scroll Down to Row 76 and follow instructions.</v>
      </c>
      <c r="C15" s="421"/>
      <c r="D15" s="421"/>
      <c r="E15" s="421"/>
      <c r="G15" s="420" t="str">
        <f>CONCATENATE("For results, see Row ",AN101, ". Key results are in cells H",AN105, " and ",AN106, ". For graph of CO2 reductions over time, go to worksheet tab 'Graph_CO2'.")</f>
        <v>For results, see Row 101. Key results are in cells H105 and 106. For graph of CO2 reductions over time, go to worksheet tab 'Graph_CO2'.</v>
      </c>
      <c r="H15" s="421"/>
      <c r="I15" s="421"/>
      <c r="J15" s="421"/>
      <c r="L15" s="352">
        <v>2</v>
      </c>
      <c r="M15" s="353" t="s">
        <v>631</v>
      </c>
      <c r="N15" s="362"/>
      <c r="O15" s="362"/>
      <c r="P15" s="362"/>
      <c r="Q15" s="362"/>
      <c r="R15" s="362"/>
      <c r="S15" s="362"/>
      <c r="T15" s="362"/>
      <c r="U15" s="363"/>
      <c r="AN15" s="106">
        <f>ROW()</f>
        <v>15</v>
      </c>
    </row>
    <row r="16" spans="2:40" ht="13.9" customHeight="1" x14ac:dyDescent="0.2">
      <c r="B16" s="422"/>
      <c r="C16" s="422"/>
      <c r="D16" s="422"/>
      <c r="E16" s="422"/>
      <c r="F16" s="287"/>
      <c r="G16" s="422"/>
      <c r="H16" s="422"/>
      <c r="I16" s="422"/>
      <c r="J16" s="422"/>
      <c r="L16" s="352">
        <v>3</v>
      </c>
      <c r="M16" s="354" t="s">
        <v>632</v>
      </c>
      <c r="N16" s="362"/>
      <c r="O16" s="362"/>
      <c r="P16" s="362"/>
      <c r="Q16" s="362"/>
      <c r="R16" s="362"/>
      <c r="S16" s="362"/>
      <c r="T16" s="362"/>
      <c r="U16" s="363"/>
      <c r="AN16" s="106">
        <f>ROW()</f>
        <v>16</v>
      </c>
    </row>
    <row r="17" spans="2:40" ht="13.9" customHeight="1" x14ac:dyDescent="0.2">
      <c r="B17" s="422"/>
      <c r="C17" s="422"/>
      <c r="D17" s="422"/>
      <c r="E17" s="422"/>
      <c r="F17" s="210"/>
      <c r="G17" s="422"/>
      <c r="H17" s="422"/>
      <c r="I17" s="422"/>
      <c r="J17" s="422"/>
      <c r="L17" s="352">
        <v>4</v>
      </c>
      <c r="M17" s="353" t="s">
        <v>633</v>
      </c>
      <c r="N17" s="362"/>
      <c r="O17" s="362"/>
      <c r="P17" s="362"/>
      <c r="Q17" s="409" t="s">
        <v>612</v>
      </c>
      <c r="R17" s="410"/>
      <c r="S17" s="410"/>
      <c r="T17" s="410"/>
      <c r="U17" s="411"/>
      <c r="AN17" s="106">
        <f>ROW()</f>
        <v>17</v>
      </c>
    </row>
    <row r="18" spans="2:40" ht="13.9" customHeight="1" x14ac:dyDescent="0.2">
      <c r="B18" s="392"/>
      <c r="C18" s="392"/>
      <c r="D18" s="392"/>
      <c r="E18" s="392"/>
      <c r="F18" s="210"/>
      <c r="G18" s="392"/>
      <c r="H18" s="392"/>
      <c r="I18" s="392"/>
      <c r="J18" s="392"/>
      <c r="L18" s="352">
        <v>5</v>
      </c>
      <c r="M18" s="353" t="s">
        <v>634</v>
      </c>
      <c r="N18" s="362"/>
      <c r="O18" s="362"/>
      <c r="P18" s="362"/>
      <c r="Q18" s="412"/>
      <c r="R18" s="413"/>
      <c r="S18" s="413"/>
      <c r="T18" s="413"/>
      <c r="U18" s="414"/>
      <c r="AN18" s="106">
        <f>ROW()</f>
        <v>18</v>
      </c>
    </row>
    <row r="19" spans="2:40" ht="13.9" customHeight="1" x14ac:dyDescent="0.2">
      <c r="B19" s="77"/>
      <c r="L19" s="352">
        <v>6</v>
      </c>
      <c r="M19" s="357" t="s">
        <v>635</v>
      </c>
      <c r="N19" s="362"/>
      <c r="O19" s="362"/>
      <c r="P19" s="362"/>
      <c r="Q19" s="412"/>
      <c r="R19" s="413"/>
      <c r="S19" s="413"/>
      <c r="T19" s="413"/>
      <c r="U19" s="414"/>
      <c r="AN19" s="106">
        <f>ROW()</f>
        <v>19</v>
      </c>
    </row>
    <row r="20" spans="2:40" ht="13.9" customHeight="1" x14ac:dyDescent="0.25">
      <c r="B20" s="70" t="s">
        <v>182</v>
      </c>
      <c r="L20" s="364" t="s">
        <v>610</v>
      </c>
      <c r="M20" s="365"/>
      <c r="N20" s="366"/>
      <c r="O20" s="366"/>
      <c r="P20" s="366"/>
      <c r="Q20" s="415"/>
      <c r="R20" s="416"/>
      <c r="S20" s="416"/>
      <c r="T20" s="416"/>
      <c r="U20" s="417"/>
      <c r="AN20" s="106">
        <f>ROW()</f>
        <v>20</v>
      </c>
    </row>
    <row r="21" spans="2:40" ht="13.9" customHeight="1" x14ac:dyDescent="0.2">
      <c r="B21" s="1"/>
      <c r="M21"/>
      <c r="N21"/>
      <c r="AN21" s="106">
        <f>ROW()</f>
        <v>21</v>
      </c>
    </row>
    <row r="22" spans="2:40" ht="13.9" customHeight="1" x14ac:dyDescent="0.2">
      <c r="B22" s="390" t="s">
        <v>444</v>
      </c>
      <c r="C22" s="390"/>
      <c r="D22" s="390"/>
      <c r="E22" s="390"/>
      <c r="F22" s="390"/>
      <c r="G22" s="390"/>
      <c r="H22" s="390"/>
      <c r="I22" s="390"/>
      <c r="J22" s="390"/>
      <c r="K22" s="279"/>
      <c r="M22"/>
      <c r="N22"/>
      <c r="AN22" s="106">
        <f>ROW()</f>
        <v>22</v>
      </c>
    </row>
    <row r="23" spans="2:40" ht="13.9" customHeight="1" x14ac:dyDescent="0.2">
      <c r="B23" s="390"/>
      <c r="C23" s="390"/>
      <c r="D23" s="390"/>
      <c r="E23" s="390"/>
      <c r="F23" s="390"/>
      <c r="G23" s="390"/>
      <c r="H23" s="390"/>
      <c r="I23" s="390"/>
      <c r="J23" s="390"/>
      <c r="K23" s="279"/>
      <c r="M23"/>
      <c r="N23"/>
      <c r="AN23" s="106">
        <f>ROW()</f>
        <v>23</v>
      </c>
    </row>
    <row r="24" spans="2:40" ht="6" customHeight="1" x14ac:dyDescent="0.2">
      <c r="B24" s="1"/>
      <c r="E24" s="9"/>
      <c r="M24"/>
      <c r="N24"/>
      <c r="AN24" s="106">
        <f>ROW()</f>
        <v>24</v>
      </c>
    </row>
    <row r="25" spans="2:40" s="58" customFormat="1" ht="13.9" customHeight="1" x14ac:dyDescent="0.2">
      <c r="B25" s="390" t="s">
        <v>649</v>
      </c>
      <c r="C25" s="390"/>
      <c r="D25" s="390"/>
      <c r="E25" s="390"/>
      <c r="F25" s="390"/>
      <c r="G25" s="390"/>
      <c r="H25" s="390"/>
      <c r="I25" s="390"/>
      <c r="J25" s="390"/>
      <c r="K25" s="279"/>
      <c r="M25"/>
      <c r="N25"/>
      <c r="O25" s="83"/>
      <c r="AN25" s="106">
        <f>ROW()</f>
        <v>25</v>
      </c>
    </row>
    <row r="26" spans="2:40" s="58" customFormat="1" ht="13.9" customHeight="1" x14ac:dyDescent="0.2">
      <c r="B26" s="390"/>
      <c r="C26" s="390"/>
      <c r="D26" s="390"/>
      <c r="E26" s="390"/>
      <c r="F26" s="390"/>
      <c r="G26" s="390"/>
      <c r="H26" s="390"/>
      <c r="I26" s="390"/>
      <c r="J26" s="390"/>
      <c r="K26" s="279"/>
      <c r="M26"/>
      <c r="N26"/>
      <c r="O26" s="83"/>
      <c r="AN26" s="106">
        <f>ROW()</f>
        <v>26</v>
      </c>
    </row>
    <row r="27" spans="2:40" s="58" customFormat="1" ht="13.9" customHeight="1" x14ac:dyDescent="0.2">
      <c r="B27" s="390"/>
      <c r="C27" s="390"/>
      <c r="D27" s="390"/>
      <c r="E27" s="390"/>
      <c r="F27" s="390"/>
      <c r="G27" s="390"/>
      <c r="H27" s="390"/>
      <c r="I27" s="390"/>
      <c r="J27" s="390"/>
      <c r="K27" s="279"/>
      <c r="L27"/>
      <c r="M27"/>
      <c r="N27"/>
      <c r="O27"/>
      <c r="P27"/>
      <c r="AN27" s="106">
        <f>ROW()</f>
        <v>27</v>
      </c>
    </row>
    <row r="28" spans="2:40" s="58" customFormat="1" ht="6" customHeight="1" x14ac:dyDescent="0.2">
      <c r="B28" s="82"/>
      <c r="C28" s="82"/>
      <c r="D28" s="82"/>
      <c r="E28" s="82"/>
      <c r="F28" s="82"/>
      <c r="G28" s="82"/>
      <c r="H28" s="82"/>
      <c r="I28" s="82"/>
      <c r="J28" s="82"/>
      <c r="K28" s="82"/>
      <c r="L28"/>
      <c r="M28"/>
      <c r="N28"/>
      <c r="O28"/>
      <c r="P28"/>
      <c r="AN28" s="106">
        <f>ROW()</f>
        <v>28</v>
      </c>
    </row>
    <row r="29" spans="2:40" s="58" customFormat="1" ht="13.9" customHeight="1" x14ac:dyDescent="0.2">
      <c r="B29" s="390" t="s">
        <v>650</v>
      </c>
      <c r="C29" s="390"/>
      <c r="D29" s="390"/>
      <c r="E29" s="390"/>
      <c r="F29" s="390"/>
      <c r="G29" s="390"/>
      <c r="H29" s="390"/>
      <c r="I29" s="390"/>
      <c r="J29" s="390"/>
      <c r="K29" s="390"/>
      <c r="L29"/>
      <c r="M29"/>
      <c r="N29"/>
      <c r="O29"/>
      <c r="P29"/>
      <c r="AN29" s="106">
        <f>ROW()</f>
        <v>29</v>
      </c>
    </row>
    <row r="30" spans="2:40" s="58" customFormat="1" ht="13.9" customHeight="1" x14ac:dyDescent="0.2">
      <c r="B30" s="390"/>
      <c r="C30" s="390"/>
      <c r="D30" s="390"/>
      <c r="E30" s="390"/>
      <c r="F30" s="390"/>
      <c r="G30" s="390"/>
      <c r="H30" s="390"/>
      <c r="I30" s="390"/>
      <c r="J30" s="390"/>
      <c r="K30" s="390"/>
      <c r="M30"/>
      <c r="N30"/>
      <c r="V30" s="42"/>
      <c r="W30" s="42"/>
      <c r="X30" s="42"/>
      <c r="Y30" s="42"/>
      <c r="Z30" s="42"/>
      <c r="AA30" s="42"/>
      <c r="AN30" s="106">
        <f>ROW()</f>
        <v>30</v>
      </c>
    </row>
    <row r="31" spans="2:40" s="58" customFormat="1" ht="13.9" customHeight="1" x14ac:dyDescent="0.2">
      <c r="B31" s="390"/>
      <c r="C31" s="390"/>
      <c r="D31" s="390"/>
      <c r="E31" s="390"/>
      <c r="F31" s="390"/>
      <c r="G31" s="390"/>
      <c r="H31" s="390"/>
      <c r="I31" s="390"/>
      <c r="J31" s="390"/>
      <c r="K31" s="390"/>
      <c r="M31"/>
      <c r="N31"/>
      <c r="V31" s="42"/>
      <c r="W31" s="42"/>
      <c r="X31" s="42"/>
      <c r="Y31" s="42"/>
      <c r="Z31" s="42"/>
      <c r="AA31" s="42"/>
      <c r="AN31" s="106">
        <f>ROW()</f>
        <v>31</v>
      </c>
    </row>
    <row r="32" spans="2:40" ht="13.9" customHeight="1" x14ac:dyDescent="0.2">
      <c r="M32"/>
      <c r="N32"/>
      <c r="AN32" s="106">
        <f>ROW()</f>
        <v>32</v>
      </c>
    </row>
    <row r="33" spans="2:40" s="58" customFormat="1" ht="13.9" customHeight="1" x14ac:dyDescent="0.2">
      <c r="B33" s="9" t="s">
        <v>42</v>
      </c>
      <c r="C33"/>
      <c r="D33"/>
      <c r="E33"/>
      <c r="V33" s="42"/>
      <c r="W33" s="42"/>
      <c r="X33" s="42"/>
      <c r="Y33" s="42"/>
      <c r="Z33" s="42"/>
      <c r="AA33" s="42"/>
      <c r="AN33" s="106">
        <f>ROW()</f>
        <v>33</v>
      </c>
    </row>
    <row r="34" spans="2:40" s="58" customFormat="1" ht="4.9000000000000004" customHeight="1" x14ac:dyDescent="0.2">
      <c r="B34" s="42"/>
      <c r="C34"/>
      <c r="D34"/>
      <c r="E34"/>
      <c r="F34"/>
      <c r="G34"/>
      <c r="H34"/>
      <c r="I34"/>
      <c r="J34"/>
      <c r="K34"/>
      <c r="V34" s="9"/>
      <c r="W34" s="9"/>
      <c r="X34" s="9"/>
      <c r="Y34" s="9"/>
      <c r="Z34" s="9"/>
      <c r="AA34" s="9"/>
      <c r="AN34" s="106">
        <f>ROW()</f>
        <v>34</v>
      </c>
    </row>
    <row r="35" spans="2:40" s="58" customFormat="1" ht="13.9" customHeight="1" x14ac:dyDescent="0.2">
      <c r="B35" s="42" t="s">
        <v>646</v>
      </c>
      <c r="C35"/>
      <c r="D35"/>
      <c r="E35"/>
      <c r="F35"/>
      <c r="G35"/>
      <c r="H35"/>
      <c r="I35"/>
      <c r="J35"/>
      <c r="K35"/>
      <c r="V35" s="9"/>
      <c r="W35" s="9"/>
      <c r="X35" s="9"/>
      <c r="Y35" s="9"/>
      <c r="Z35" s="9"/>
      <c r="AA35" s="9"/>
      <c r="AN35" s="106">
        <f>ROW()</f>
        <v>35</v>
      </c>
    </row>
    <row r="36" spans="2:40" s="58" customFormat="1" ht="4.9000000000000004" customHeight="1" x14ac:dyDescent="0.2">
      <c r="B36" s="42"/>
      <c r="C36"/>
      <c r="D36"/>
      <c r="E36"/>
      <c r="F36"/>
      <c r="G36"/>
      <c r="H36"/>
      <c r="I36"/>
      <c r="J36"/>
      <c r="K36"/>
      <c r="V36" s="9"/>
      <c r="W36" s="9"/>
      <c r="X36" s="9"/>
      <c r="Y36" s="9"/>
      <c r="Z36" s="9"/>
      <c r="AA36" s="9"/>
      <c r="AN36" s="106">
        <f>ROW()</f>
        <v>36</v>
      </c>
    </row>
    <row r="37" spans="2:40" ht="13.9" customHeight="1" x14ac:dyDescent="0.2">
      <c r="B37" s="9" t="s">
        <v>182</v>
      </c>
      <c r="C37" s="42" t="s">
        <v>343</v>
      </c>
      <c r="M37"/>
      <c r="N37"/>
      <c r="AN37" s="106">
        <f>ROW()</f>
        <v>37</v>
      </c>
    </row>
    <row r="38" spans="2:40" s="58" customFormat="1" ht="4.9000000000000004" customHeight="1" x14ac:dyDescent="0.2">
      <c r="B38" s="42"/>
      <c r="C38"/>
      <c r="D38"/>
      <c r="E38"/>
      <c r="F38"/>
      <c r="G38"/>
      <c r="H38"/>
      <c r="I38"/>
      <c r="J38"/>
      <c r="K38"/>
      <c r="M38"/>
      <c r="N38"/>
      <c r="AN38" s="106">
        <f>ROW()</f>
        <v>38</v>
      </c>
    </row>
    <row r="39" spans="2:40" s="58" customFormat="1" ht="13.9" customHeight="1" x14ac:dyDescent="0.2">
      <c r="B39" s="9" t="s">
        <v>315</v>
      </c>
      <c r="C39" s="42" t="s">
        <v>429</v>
      </c>
      <c r="M39"/>
      <c r="N39"/>
      <c r="AN39" s="106">
        <f>ROW()</f>
        <v>39</v>
      </c>
    </row>
    <row r="40" spans="2:40" ht="4.9000000000000004" customHeight="1" x14ac:dyDescent="0.2">
      <c r="M40"/>
      <c r="N40"/>
      <c r="AN40" s="106">
        <f>ROW()</f>
        <v>40</v>
      </c>
    </row>
    <row r="41" spans="2:40" s="58" customFormat="1" ht="13.9" customHeight="1" x14ac:dyDescent="0.2">
      <c r="B41" s="9" t="s">
        <v>186</v>
      </c>
      <c r="C41" s="42" t="str">
        <f>CONCATENATE("The largest U.S. CO2 sector, accounting for ",ROUND(H119*100,1), "% of emissions in 2009; is dominated by coal.")</f>
        <v>The largest U.S. CO2 sector, accounting for 40.6% of emissions in 2009; is dominated by coal.</v>
      </c>
      <c r="D41"/>
      <c r="E41"/>
      <c r="F41"/>
      <c r="G41"/>
      <c r="H41"/>
      <c r="I41"/>
      <c r="J41"/>
      <c r="K41"/>
      <c r="M41"/>
      <c r="N41"/>
      <c r="AN41" s="106">
        <f>ROW()</f>
        <v>41</v>
      </c>
    </row>
    <row r="42" spans="2:40" s="58" customFormat="1" ht="4.9000000000000004" customHeight="1" x14ac:dyDescent="0.2">
      <c r="B42"/>
      <c r="C42"/>
      <c r="D42"/>
      <c r="E42"/>
      <c r="F42"/>
      <c r="G42"/>
      <c r="H42"/>
      <c r="I42"/>
      <c r="J42"/>
      <c r="K42"/>
      <c r="AN42" s="106">
        <f>ROW()</f>
        <v>42</v>
      </c>
    </row>
    <row r="43" spans="2:40" s="58" customFormat="1" ht="13.9" customHeight="1" x14ac:dyDescent="0.2">
      <c r="B43" s="419" t="s">
        <v>285</v>
      </c>
      <c r="C43" s="390" t="str">
        <f>CONCATENATE("Is dominated by household vehicles -- cars and so-called light trucks; also includes recreational boats and ATV's; ",ROUND(H120*100,1), "% of U.S. emissions in 2009.")</f>
        <v>Is dominated by household vehicles -- cars and so-called light trucks; also includes recreational boats and ATV's; 22.9% of U.S. emissions in 2009.</v>
      </c>
      <c r="D43" s="390"/>
      <c r="E43" s="390"/>
      <c r="F43" s="390"/>
      <c r="G43" s="390"/>
      <c r="H43" s="390"/>
      <c r="I43" s="390"/>
      <c r="J43" s="390"/>
      <c r="K43" s="42"/>
      <c r="AN43" s="106">
        <f>ROW()</f>
        <v>43</v>
      </c>
    </row>
    <row r="44" spans="2:40" s="58" customFormat="1" ht="13.9" customHeight="1" x14ac:dyDescent="0.2">
      <c r="B44" s="419"/>
      <c r="C44" s="390"/>
      <c r="D44" s="390"/>
      <c r="E44" s="390"/>
      <c r="F44" s="390"/>
      <c r="G44" s="390"/>
      <c r="H44" s="390"/>
      <c r="I44" s="390"/>
      <c r="J44" s="390"/>
      <c r="K44" s="42"/>
      <c r="V44" s="42"/>
      <c r="W44" s="42"/>
      <c r="X44" s="42"/>
      <c r="Y44" s="42"/>
      <c r="Z44" s="42"/>
      <c r="AA44" s="42"/>
      <c r="AN44" s="106">
        <f>ROW()</f>
        <v>44</v>
      </c>
    </row>
    <row r="45" spans="2:40" s="58" customFormat="1" ht="4.9000000000000004" customHeight="1" x14ac:dyDescent="0.2">
      <c r="B45"/>
      <c r="C45"/>
      <c r="D45"/>
      <c r="E45"/>
      <c r="F45"/>
      <c r="G45"/>
      <c r="H45"/>
      <c r="I45"/>
      <c r="J45"/>
      <c r="K45"/>
      <c r="V45" s="42"/>
      <c r="W45" s="42"/>
      <c r="X45" s="42"/>
      <c r="Y45" s="42"/>
      <c r="Z45" s="42"/>
      <c r="AA45" s="42"/>
      <c r="AN45" s="106">
        <f>ROW()</f>
        <v>45</v>
      </c>
    </row>
    <row r="46" spans="2:40" s="58" customFormat="1" ht="13.9" customHeight="1" x14ac:dyDescent="0.2">
      <c r="B46" s="9" t="s">
        <v>295</v>
      </c>
      <c r="C46" s="390" t="str">
        <f>CONCATENATE("Moving goods by truck, rail, barge and ship accounted for ",ROUND(H121*100,1), "% of U.S. CO2 emissions in 2009 (air freight is subsumed under Aviation).")</f>
        <v>Moving goods by truck, rail, barge and ship accounted for 8.5% of U.S. CO2 emissions in 2009 (air freight is subsumed under Aviation).</v>
      </c>
      <c r="D46" s="390"/>
      <c r="E46" s="390"/>
      <c r="F46" s="390"/>
      <c r="G46" s="390"/>
      <c r="H46" s="390"/>
      <c r="I46" s="390"/>
      <c r="J46" s="390"/>
      <c r="K46" s="390"/>
      <c r="V46" s="42"/>
      <c r="W46" s="42"/>
      <c r="X46" s="42"/>
      <c r="Y46" s="42"/>
      <c r="Z46" s="42"/>
      <c r="AA46" s="42"/>
      <c r="AN46" s="106">
        <f>ROW()</f>
        <v>46</v>
      </c>
    </row>
    <row r="47" spans="2:40" s="58" customFormat="1" ht="13.9" customHeight="1" x14ac:dyDescent="0.2">
      <c r="B47" s="9"/>
      <c r="C47" s="390"/>
      <c r="D47" s="390"/>
      <c r="E47" s="390"/>
      <c r="F47" s="390"/>
      <c r="G47" s="390"/>
      <c r="H47" s="390"/>
      <c r="I47" s="390"/>
      <c r="J47" s="390"/>
      <c r="K47" s="390"/>
      <c r="V47" s="42"/>
      <c r="W47" s="42"/>
      <c r="X47" s="42"/>
      <c r="Y47" s="42"/>
      <c r="Z47" s="42"/>
      <c r="AA47" s="42"/>
      <c r="AN47" s="106">
        <f>ROW()</f>
        <v>47</v>
      </c>
    </row>
    <row r="48" spans="2:40" s="58" customFormat="1" ht="4.9000000000000004" customHeight="1" x14ac:dyDescent="0.2">
      <c r="B48"/>
      <c r="C48"/>
      <c r="D48"/>
      <c r="E48"/>
      <c r="F48"/>
      <c r="G48"/>
      <c r="H48"/>
      <c r="I48"/>
      <c r="J48"/>
      <c r="K48"/>
      <c r="V48" s="42"/>
      <c r="W48" s="42"/>
      <c r="X48" s="42"/>
      <c r="Y48" s="42"/>
      <c r="Z48" s="42"/>
      <c r="AA48" s="42"/>
      <c r="AN48" s="106">
        <f>ROW()</f>
        <v>48</v>
      </c>
    </row>
    <row r="49" spans="2:40" s="58" customFormat="1" ht="13.9" customHeight="1" x14ac:dyDescent="0.2">
      <c r="B49" s="9" t="s">
        <v>344</v>
      </c>
      <c r="C49" s="390" t="str">
        <f>CONCATENATE("Just ",ROUND(H122*100,1), "% of U.S. CO2 emissions in 2009, but was growing rapidly until recently; includes air freight but excludes military aviation, which falls under 'Other.'")</f>
        <v>Just 3.7% of U.S. CO2 emissions in 2009, but was growing rapidly until recently; includes air freight but excludes military aviation, which falls under 'Other.'</v>
      </c>
      <c r="D49" s="390"/>
      <c r="E49" s="390"/>
      <c r="F49" s="390"/>
      <c r="G49" s="390"/>
      <c r="H49" s="390"/>
      <c r="I49" s="390"/>
      <c r="J49" s="390"/>
      <c r="K49" s="390"/>
      <c r="V49" s="42"/>
      <c r="W49" s="42"/>
      <c r="X49" s="42"/>
      <c r="Y49" s="42"/>
      <c r="Z49" s="42"/>
      <c r="AA49" s="42"/>
      <c r="AN49" s="106">
        <f>ROW()</f>
        <v>49</v>
      </c>
    </row>
    <row r="50" spans="2:40" s="58" customFormat="1" ht="13.9" customHeight="1" x14ac:dyDescent="0.2">
      <c r="B50" s="9"/>
      <c r="C50" s="390"/>
      <c r="D50" s="390"/>
      <c r="E50" s="390"/>
      <c r="F50" s="390"/>
      <c r="G50" s="390"/>
      <c r="H50" s="390"/>
      <c r="I50" s="390"/>
      <c r="J50" s="390"/>
      <c r="K50" s="390"/>
      <c r="L50"/>
      <c r="M50"/>
      <c r="N50" s="84"/>
      <c r="O50" s="84"/>
      <c r="P50" s="83"/>
      <c r="Q50" s="42"/>
      <c r="R50" s="42"/>
      <c r="S50" s="42"/>
      <c r="T50" s="42"/>
      <c r="U50" s="42"/>
      <c r="V50" s="42"/>
      <c r="W50" s="42"/>
      <c r="X50" s="42"/>
      <c r="Y50" s="42"/>
      <c r="Z50" s="42"/>
      <c r="AA50" s="42"/>
      <c r="AN50" s="106">
        <f>ROW()</f>
        <v>50</v>
      </c>
    </row>
    <row r="51" spans="2:40" s="58" customFormat="1" ht="4.9000000000000004" customHeight="1" x14ac:dyDescent="0.2">
      <c r="B51"/>
      <c r="N51" s="83"/>
      <c r="O51" s="83"/>
      <c r="P51" s="83"/>
      <c r="Q51" s="42"/>
      <c r="AN51" s="106">
        <f>ROW()</f>
        <v>51</v>
      </c>
    </row>
    <row r="52" spans="2:40" s="58" customFormat="1" ht="13.9" customHeight="1" x14ac:dyDescent="0.2">
      <c r="B52" s="9" t="s">
        <v>345</v>
      </c>
      <c r="C52" s="390" t="str">
        <f>CONCATENATE("All fossil-fuel burning other than the four preceding categories. Includes industrial fuel use, construction machinery, non-electric heat and hot water, and military. Accounted for ",ROUND(H123*100,1), "% of emissions in 2009.")</f>
        <v>All fossil-fuel burning other than the four preceding categories. Includes industrial fuel use, construction machinery, non-electric heat and hot water, and military. Accounted for 24.2% of emissions in 2009.</v>
      </c>
      <c r="D52" s="390"/>
      <c r="E52" s="390"/>
      <c r="F52" s="390"/>
      <c r="G52" s="390"/>
      <c r="H52" s="390"/>
      <c r="I52" s="390"/>
      <c r="J52" s="390"/>
      <c r="K52" s="390"/>
      <c r="L52" s="42"/>
      <c r="M52" s="9"/>
      <c r="O52" s="42"/>
      <c r="P52" s="42"/>
      <c r="Q52" s="42"/>
      <c r="R52" s="42"/>
      <c r="S52" s="42"/>
      <c r="T52" s="42"/>
      <c r="U52" s="42"/>
      <c r="V52" s="42"/>
      <c r="W52" s="42"/>
      <c r="X52" s="42"/>
      <c r="Y52" s="42"/>
      <c r="AN52" s="106">
        <f>ROW()</f>
        <v>52</v>
      </c>
    </row>
    <row r="53" spans="2:40" s="58" customFormat="1" ht="13.9" customHeight="1" x14ac:dyDescent="0.2">
      <c r="B53" s="9"/>
      <c r="C53" s="390"/>
      <c r="D53" s="390"/>
      <c r="E53" s="390"/>
      <c r="F53" s="390"/>
      <c r="G53" s="390"/>
      <c r="H53" s="390"/>
      <c r="I53" s="390"/>
      <c r="J53" s="390"/>
      <c r="K53" s="390"/>
      <c r="L53" s="42"/>
      <c r="M53" s="9"/>
      <c r="O53" s="42"/>
      <c r="P53" s="42"/>
      <c r="Q53" s="42"/>
      <c r="R53" s="42"/>
      <c r="S53" s="42"/>
      <c r="T53" s="42"/>
      <c r="U53" s="42"/>
      <c r="V53" s="42"/>
      <c r="W53" s="42"/>
      <c r="X53" s="42"/>
      <c r="Y53" s="42"/>
      <c r="AN53" s="106">
        <f>ROW()</f>
        <v>53</v>
      </c>
    </row>
    <row r="54" spans="2:40" s="58" customFormat="1" ht="4.9000000000000004" customHeight="1" x14ac:dyDescent="0.2">
      <c r="B54"/>
      <c r="C54"/>
      <c r="D54"/>
      <c r="E54"/>
      <c r="F54"/>
      <c r="G54"/>
      <c r="H54"/>
      <c r="I54"/>
      <c r="J54"/>
      <c r="K54"/>
      <c r="L54"/>
      <c r="M54"/>
      <c r="N54" s="84"/>
      <c r="O54" s="84"/>
      <c r="P54" s="83"/>
      <c r="Q54" s="42"/>
      <c r="AN54" s="106">
        <f>ROW()</f>
        <v>54</v>
      </c>
    </row>
    <row r="55" spans="2:40" s="58" customFormat="1" ht="13.9" customHeight="1" x14ac:dyDescent="0.2">
      <c r="B55" s="9" t="s">
        <v>39</v>
      </c>
      <c r="C55" s="42" t="s">
        <v>601</v>
      </c>
      <c r="D55"/>
      <c r="E55"/>
      <c r="F55"/>
      <c r="G55"/>
      <c r="H55"/>
      <c r="I55"/>
      <c r="J55"/>
      <c r="K55"/>
      <c r="L55"/>
      <c r="M55"/>
      <c r="N55" s="84"/>
      <c r="O55" s="84"/>
      <c r="P55" s="83"/>
      <c r="Q55" s="42"/>
      <c r="AN55" s="106">
        <f>ROW()</f>
        <v>55</v>
      </c>
    </row>
    <row r="56" spans="2:40" s="58" customFormat="1" ht="4.9000000000000004" customHeight="1" x14ac:dyDescent="0.2">
      <c r="B56" s="42"/>
      <c r="C56" s="42"/>
      <c r="D56" s="69"/>
      <c r="E56" s="69"/>
      <c r="F56" s="69"/>
      <c r="G56" s="69"/>
      <c r="H56" s="69"/>
      <c r="I56" s="69"/>
      <c r="J56" s="69"/>
      <c r="K56" s="69"/>
      <c r="L56" s="69"/>
      <c r="M56" s="173"/>
      <c r="N56" s="173"/>
      <c r="O56" s="173"/>
      <c r="Q56" s="42"/>
      <c r="AN56" s="106">
        <f>ROW()</f>
        <v>56</v>
      </c>
    </row>
    <row r="57" spans="2:40" s="58" customFormat="1" ht="13.9" customHeight="1" x14ac:dyDescent="0.2">
      <c r="B57" s="9" t="s">
        <v>602</v>
      </c>
      <c r="C57" s="42" t="s">
        <v>603</v>
      </c>
      <c r="D57" s="69"/>
      <c r="E57" s="69"/>
      <c r="F57" s="69"/>
      <c r="G57" s="69"/>
      <c r="H57" s="69"/>
      <c r="I57" s="69"/>
      <c r="J57" s="69"/>
      <c r="K57" s="69"/>
      <c r="L57" s="69"/>
      <c r="M57" s="173"/>
      <c r="N57" s="173"/>
      <c r="O57" s="173"/>
      <c r="Q57" s="42"/>
      <c r="AN57" s="106">
        <f>ROW()</f>
        <v>57</v>
      </c>
    </row>
    <row r="58" spans="2:40" s="58" customFormat="1" ht="4.9000000000000004" customHeight="1" x14ac:dyDescent="0.2">
      <c r="B58" s="42"/>
      <c r="C58" s="42"/>
      <c r="D58" s="69"/>
      <c r="E58" s="69"/>
      <c r="F58" s="69"/>
      <c r="G58" s="69"/>
      <c r="H58" s="69"/>
      <c r="I58" s="69"/>
      <c r="J58" s="69"/>
      <c r="K58" s="69"/>
      <c r="L58" s="69"/>
      <c r="M58" s="173"/>
      <c r="N58" s="173"/>
      <c r="O58" s="173"/>
      <c r="Q58" s="42"/>
      <c r="AN58" s="106">
        <f>ROW()</f>
        <v>58</v>
      </c>
    </row>
    <row r="59" spans="2:40" s="58" customFormat="1" ht="13.9" customHeight="1" x14ac:dyDescent="0.2">
      <c r="B59" s="9" t="s">
        <v>604</v>
      </c>
      <c r="C59" s="42" t="s">
        <v>652</v>
      </c>
      <c r="M59" s="83"/>
      <c r="N59" s="83"/>
      <c r="O59" s="83"/>
      <c r="AN59" s="106">
        <f>ROW()</f>
        <v>59</v>
      </c>
    </row>
    <row r="60" spans="2:40" ht="4.9000000000000004" customHeight="1" x14ac:dyDescent="0.2">
      <c r="M60" s="84"/>
      <c r="AN60" s="106">
        <f>ROW()</f>
        <v>60</v>
      </c>
    </row>
    <row r="61" spans="2:40" s="58" customFormat="1" ht="13.9" customHeight="1" x14ac:dyDescent="0.2">
      <c r="B61" s="9" t="s">
        <v>605</v>
      </c>
      <c r="C61" s="42" t="s">
        <v>651</v>
      </c>
      <c r="M61" s="83"/>
      <c r="N61" s="83"/>
      <c r="O61" s="83"/>
      <c r="AN61" s="106">
        <f>ROW()</f>
        <v>61</v>
      </c>
    </row>
    <row r="62" spans="2:40" ht="4.9000000000000004" customHeight="1" x14ac:dyDescent="0.2">
      <c r="M62" s="84"/>
      <c r="AN62" s="106">
        <f>ROW()</f>
        <v>62</v>
      </c>
    </row>
    <row r="63" spans="2:40" s="58" customFormat="1" ht="13.9" customHeight="1" x14ac:dyDescent="0.2">
      <c r="B63" s="9" t="s">
        <v>606</v>
      </c>
      <c r="C63" s="42" t="s">
        <v>607</v>
      </c>
      <c r="M63" s="83"/>
      <c r="N63" s="83"/>
      <c r="O63" s="83"/>
      <c r="AN63" s="106">
        <f>ROW()</f>
        <v>63</v>
      </c>
    </row>
    <row r="64" spans="2:40" ht="13.9" customHeight="1" x14ac:dyDescent="0.2">
      <c r="M64" s="84"/>
      <c r="AN64" s="106">
        <f>ROW()</f>
        <v>64</v>
      </c>
    </row>
    <row r="65" spans="2:40" ht="13.9" customHeight="1" x14ac:dyDescent="0.2">
      <c r="B65" s="390" t="s">
        <v>577</v>
      </c>
      <c r="C65" s="390"/>
      <c r="D65" s="390"/>
      <c r="E65" s="390"/>
      <c r="F65" s="390"/>
      <c r="G65" s="390"/>
      <c r="H65" s="390"/>
      <c r="I65" s="390"/>
      <c r="J65" s="390"/>
      <c r="K65" s="390"/>
      <c r="M65"/>
      <c r="N65" s="173"/>
      <c r="O65" s="173"/>
      <c r="AN65" s="106">
        <f>ROW()</f>
        <v>65</v>
      </c>
    </row>
    <row r="66" spans="2:40" ht="13.9" customHeight="1" x14ac:dyDescent="0.2">
      <c r="B66" s="390"/>
      <c r="C66" s="390"/>
      <c r="D66" s="390"/>
      <c r="E66" s="390"/>
      <c r="F66" s="390"/>
      <c r="G66" s="390"/>
      <c r="H66" s="390"/>
      <c r="I66" s="390"/>
      <c r="J66" s="390"/>
      <c r="K66" s="390"/>
      <c r="M66"/>
      <c r="N66" s="173"/>
      <c r="O66" s="173"/>
      <c r="AN66" s="106">
        <f>ROW()</f>
        <v>66</v>
      </c>
    </row>
    <row r="67" spans="2:40" ht="13.9" customHeight="1" x14ac:dyDescent="0.2">
      <c r="B67" s="42"/>
      <c r="C67" s="58"/>
      <c r="D67" s="58"/>
      <c r="E67" s="58"/>
      <c r="F67" s="58"/>
      <c r="G67" s="58"/>
      <c r="H67" s="58"/>
      <c r="I67" s="58"/>
      <c r="J67" s="58"/>
      <c r="K67" s="58"/>
      <c r="L67" s="58"/>
      <c r="M67" s="83"/>
      <c r="N67" s="83"/>
      <c r="O67" s="83"/>
      <c r="AN67" s="106">
        <f>ROW()</f>
        <v>67</v>
      </c>
    </row>
    <row r="68" spans="2:40" ht="13.9" customHeight="1" x14ac:dyDescent="0.25">
      <c r="B68" s="70" t="s">
        <v>55</v>
      </c>
      <c r="M68" s="84"/>
      <c r="AN68" s="106">
        <f>ROW()</f>
        <v>68</v>
      </c>
    </row>
    <row r="69" spans="2:40" ht="13.9" customHeight="1" x14ac:dyDescent="0.2">
      <c r="M69" s="84"/>
      <c r="AN69" s="106">
        <f>ROW()</f>
        <v>69</v>
      </c>
    </row>
    <row r="70" spans="2:40" ht="13.9" customHeight="1" x14ac:dyDescent="0.2">
      <c r="B70" s="390" t="s">
        <v>445</v>
      </c>
      <c r="C70" s="390"/>
      <c r="D70" s="390"/>
      <c r="E70" s="390"/>
      <c r="F70" s="390"/>
      <c r="G70" s="390"/>
      <c r="H70" s="390"/>
      <c r="I70" s="390"/>
      <c r="J70" s="390"/>
      <c r="K70" s="390"/>
      <c r="M70"/>
      <c r="N70" s="173"/>
      <c r="O70" s="173"/>
      <c r="AN70" s="106">
        <f>ROW()</f>
        <v>70</v>
      </c>
    </row>
    <row r="71" spans="2:40" ht="13.9" customHeight="1" x14ac:dyDescent="0.2">
      <c r="B71" s="390"/>
      <c r="C71" s="390"/>
      <c r="D71" s="390"/>
      <c r="E71" s="390"/>
      <c r="F71" s="390"/>
      <c r="G71" s="390"/>
      <c r="H71" s="390"/>
      <c r="I71" s="390"/>
      <c r="J71" s="390"/>
      <c r="K71" s="390"/>
      <c r="M71"/>
      <c r="N71" s="173"/>
      <c r="O71" s="173"/>
      <c r="AN71" s="106">
        <f>ROW()</f>
        <v>71</v>
      </c>
    </row>
    <row r="72" spans="2:40" ht="13.9" customHeight="1" x14ac:dyDescent="0.2">
      <c r="M72" s="84"/>
      <c r="AN72" s="106">
        <f>ROW()</f>
        <v>72</v>
      </c>
    </row>
    <row r="73" spans="2:40" ht="13.9" customHeight="1" x14ac:dyDescent="0.2">
      <c r="B73" s="430" t="s">
        <v>653</v>
      </c>
      <c r="C73" s="430"/>
      <c r="D73" s="430"/>
      <c r="E73" s="430"/>
      <c r="F73" s="430"/>
      <c r="G73" s="430"/>
      <c r="H73" s="430"/>
      <c r="I73" s="430"/>
      <c r="J73" s="430"/>
      <c r="K73" s="278"/>
      <c r="L73" s="71"/>
      <c r="M73" s="71"/>
      <c r="N73" s="177"/>
      <c r="O73" s="177"/>
      <c r="AN73" s="106">
        <f>ROW()</f>
        <v>73</v>
      </c>
    </row>
    <row r="74" spans="2:40" ht="13.9" customHeight="1" x14ac:dyDescent="0.2">
      <c r="B74" s="430"/>
      <c r="C74" s="430"/>
      <c r="D74" s="430"/>
      <c r="E74" s="430"/>
      <c r="F74" s="430"/>
      <c r="G74" s="430"/>
      <c r="H74" s="430"/>
      <c r="I74" s="430"/>
      <c r="J74" s="430"/>
      <c r="K74" s="278"/>
      <c r="L74" s="71"/>
      <c r="M74" s="71"/>
      <c r="N74" s="177"/>
      <c r="O74" s="177"/>
      <c r="AN74" s="106">
        <f>ROW()</f>
        <v>74</v>
      </c>
    </row>
    <row r="75" spans="2:40" ht="13.9" customHeight="1" x14ac:dyDescent="0.2">
      <c r="B75" s="87"/>
      <c r="C75" s="87"/>
      <c r="D75" s="87"/>
      <c r="E75" s="87"/>
      <c r="F75" s="87"/>
      <c r="M75"/>
      <c r="AN75" s="106">
        <f>ROW()</f>
        <v>75</v>
      </c>
    </row>
    <row r="76" spans="2:40" s="9" customFormat="1" ht="13.9" customHeight="1" x14ac:dyDescent="0.2">
      <c r="B76" s="9" t="s">
        <v>538</v>
      </c>
      <c r="H76" s="87"/>
      <c r="I76"/>
      <c r="J76" s="88">
        <v>10</v>
      </c>
      <c r="K76" s="211"/>
      <c r="L76" s="211"/>
      <c r="M76" s="135"/>
      <c r="N76" s="135"/>
      <c r="O76" s="135"/>
      <c r="P76"/>
      <c r="S76"/>
      <c r="AN76" s="106">
        <f>ROW()</f>
        <v>76</v>
      </c>
    </row>
    <row r="77" spans="2:40" ht="13.9" customHeight="1" x14ac:dyDescent="0.2">
      <c r="B77" s="87"/>
      <c r="C77" s="87"/>
      <c r="D77" s="87"/>
      <c r="E77" s="87"/>
      <c r="F77" s="87"/>
      <c r="G77" s="87"/>
      <c r="H77" s="87"/>
      <c r="J77" s="87"/>
      <c r="K77" s="178"/>
      <c r="L77" s="178"/>
      <c r="M77" s="178"/>
      <c r="N77" s="178"/>
      <c r="O77" s="178"/>
      <c r="AN77" s="106">
        <f>ROW()</f>
        <v>77</v>
      </c>
    </row>
    <row r="78" spans="2:40" ht="13.9" customHeight="1" x14ac:dyDescent="0.2">
      <c r="B78" s="419" t="s">
        <v>432</v>
      </c>
      <c r="C78" s="419"/>
      <c r="D78" s="419"/>
      <c r="E78" s="419"/>
      <c r="F78" s="419"/>
      <c r="G78" s="9"/>
      <c r="H78" s="87"/>
      <c r="J78" s="89">
        <v>2</v>
      </c>
      <c r="M78"/>
      <c r="N78" s="178"/>
      <c r="O78" s="178"/>
      <c r="AN78" s="106">
        <f>ROW()</f>
        <v>78</v>
      </c>
    </row>
    <row r="79" spans="2:40" ht="13.9" customHeight="1" x14ac:dyDescent="0.2">
      <c r="B79" s="419"/>
      <c r="C79" s="419"/>
      <c r="D79" s="419"/>
      <c r="E79" s="419"/>
      <c r="F79" s="419"/>
      <c r="G79" s="9"/>
      <c r="H79" s="87"/>
      <c r="M79"/>
      <c r="N79" s="178"/>
      <c r="O79" s="178"/>
      <c r="AN79" s="106">
        <f>ROW()</f>
        <v>79</v>
      </c>
    </row>
    <row r="80" spans="2:40" ht="13.9" customHeight="1" x14ac:dyDescent="0.2">
      <c r="B80" s="429" t="s">
        <v>433</v>
      </c>
      <c r="C80" s="429"/>
      <c r="D80" s="429"/>
      <c r="E80" s="429"/>
      <c r="F80" s="429"/>
      <c r="G80" s="429"/>
      <c r="H80" s="429"/>
      <c r="J80" s="445">
        <v>0</v>
      </c>
      <c r="K80" s="107"/>
      <c r="L80" s="107"/>
      <c r="M80" s="178"/>
      <c r="AN80" s="106">
        <f>ROW()</f>
        <v>80</v>
      </c>
    </row>
    <row r="81" spans="2:40" ht="13.9" customHeight="1" x14ac:dyDescent="0.2">
      <c r="B81" s="429"/>
      <c r="C81" s="429"/>
      <c r="D81" s="429"/>
      <c r="E81" s="429"/>
      <c r="F81" s="429"/>
      <c r="G81" s="429"/>
      <c r="H81" s="429"/>
      <c r="J81" s="446"/>
      <c r="K81" s="178"/>
      <c r="L81" s="178"/>
      <c r="M81" s="178"/>
      <c r="AN81" s="106">
        <f>ROW()</f>
        <v>81</v>
      </c>
    </row>
    <row r="82" spans="2:40" ht="13.9" customHeight="1" x14ac:dyDescent="0.2">
      <c r="B82" s="429"/>
      <c r="C82" s="429"/>
      <c r="D82" s="429"/>
      <c r="E82" s="429"/>
      <c r="F82" s="429"/>
      <c r="G82" s="429"/>
      <c r="H82" s="429"/>
      <c r="J82" s="447"/>
      <c r="K82" s="178"/>
      <c r="L82" s="178"/>
      <c r="M82" s="178"/>
      <c r="AN82" s="106">
        <f>ROW()</f>
        <v>82</v>
      </c>
    </row>
    <row r="83" spans="2:40" ht="13.9" customHeight="1" x14ac:dyDescent="0.2">
      <c r="B83" s="110" t="s">
        <v>281</v>
      </c>
      <c r="K83" s="84"/>
      <c r="L83" s="431" t="str">
        <f>CONCATENATE("% figure is irrelevant if Option 1 was chosen in box in Row ",AN78,"")</f>
        <v>% figure is irrelevant if Option 1 was chosen in box in Row 78</v>
      </c>
      <c r="M83" s="432"/>
      <c r="N83"/>
      <c r="O83"/>
      <c r="S83" s="95"/>
      <c r="AN83" s="106">
        <f>ROW()</f>
        <v>83</v>
      </c>
    </row>
    <row r="84" spans="2:40" ht="13.9" customHeight="1" x14ac:dyDescent="0.2">
      <c r="B84" s="1" t="s">
        <v>434</v>
      </c>
      <c r="K84" s="84"/>
      <c r="L84" s="433"/>
      <c r="M84" s="434"/>
      <c r="S84" s="95"/>
      <c r="AN84" s="106">
        <f>ROW()</f>
        <v>84</v>
      </c>
    </row>
    <row r="85" spans="2:40" ht="13.9" customHeight="1" x14ac:dyDescent="0.2">
      <c r="B85" s="172" t="s">
        <v>544</v>
      </c>
      <c r="C85" s="65"/>
      <c r="D85" s="65"/>
      <c r="E85" s="65"/>
      <c r="F85" s="65"/>
      <c r="G85" s="65"/>
      <c r="H85" s="65"/>
      <c r="J85" s="90">
        <v>0.1</v>
      </c>
      <c r="K85" s="212"/>
      <c r="L85" s="435"/>
      <c r="M85" s="436"/>
      <c r="AN85" s="106">
        <f>ROW()</f>
        <v>85</v>
      </c>
    </row>
    <row r="86" spans="2:40" ht="13.9" customHeight="1" x14ac:dyDescent="0.2">
      <c r="B86" s="437" t="s">
        <v>449</v>
      </c>
      <c r="C86" s="438"/>
      <c r="D86" s="438"/>
      <c r="E86" s="438"/>
      <c r="F86" s="438"/>
      <c r="G86" s="438"/>
      <c r="H86" s="438"/>
      <c r="I86" s="438"/>
      <c r="M86" s="84"/>
      <c r="AN86" s="106">
        <f>ROW()</f>
        <v>86</v>
      </c>
    </row>
    <row r="87" spans="2:40" ht="13.9" customHeight="1" x14ac:dyDescent="0.2">
      <c r="B87" s="438"/>
      <c r="C87" s="438"/>
      <c r="D87" s="438"/>
      <c r="E87" s="438"/>
      <c r="F87" s="438"/>
      <c r="G87" s="438"/>
      <c r="H87" s="438"/>
      <c r="I87" s="438"/>
      <c r="M87" s="84"/>
      <c r="AN87" s="106">
        <f>ROW()</f>
        <v>87</v>
      </c>
    </row>
    <row r="88" spans="2:40" ht="13.9" customHeight="1" x14ac:dyDescent="0.2">
      <c r="B88" s="15"/>
      <c r="I88" s="56"/>
      <c r="J88" s="84"/>
      <c r="K88" s="56"/>
      <c r="L88" s="56"/>
      <c r="M88" s="84"/>
      <c r="S88" s="174"/>
      <c r="T88" s="84"/>
      <c r="AN88" s="106">
        <f>ROW()</f>
        <v>88</v>
      </c>
    </row>
    <row r="89" spans="2:40" ht="13.9" customHeight="1" x14ac:dyDescent="0.2">
      <c r="B89" s="9" t="s">
        <v>545</v>
      </c>
      <c r="H89" s="42"/>
      <c r="J89" s="305">
        <v>6</v>
      </c>
      <c r="K89" s="84" t="s">
        <v>7</v>
      </c>
      <c r="L89" s="175"/>
      <c r="M89" s="84"/>
      <c r="S89" s="174"/>
      <c r="T89" s="84"/>
      <c r="AN89" s="106">
        <f>ROW()</f>
        <v>89</v>
      </c>
    </row>
    <row r="90" spans="2:40" ht="13.9" customHeight="1" x14ac:dyDescent="0.2">
      <c r="B90" s="396" t="str">
        <f>CONCATENATE("This is an optional surtax to the carbon tax. It is incremented similarly to the carbon tax, per choice made via 'switch' in Cell J",AN78, ". If '1' is selected, the annual increment is calculated by prorating annual increment in Cell J",AN80, " by initial tax in Cell J",AN76, ". If '2' is selected, tax is compounded at percent given in Cell J",AN85, ".")</f>
        <v>This is an optional surtax to the carbon tax. It is incremented similarly to the carbon tax, per choice made via 'switch' in Cell J78. If '1' is selected, the annual increment is calculated by prorating annual increment in Cell J80 by initial tax in Cell J76. If '2' is selected, tax is compounded at percent given in Cell J85.</v>
      </c>
      <c r="C90" s="396"/>
      <c r="D90" s="396"/>
      <c r="E90" s="396"/>
      <c r="F90" s="396"/>
      <c r="G90" s="396"/>
      <c r="H90" s="396"/>
      <c r="K90" s="56"/>
      <c r="L90" s="56"/>
      <c r="M90" s="84"/>
      <c r="S90" s="174"/>
      <c r="T90" s="84"/>
      <c r="AN90" s="106">
        <f>ROW()</f>
        <v>90</v>
      </c>
    </row>
    <row r="91" spans="2:40" ht="13.9" customHeight="1" x14ac:dyDescent="0.2">
      <c r="B91" s="396"/>
      <c r="C91" s="396"/>
      <c r="D91" s="396"/>
      <c r="E91" s="396"/>
      <c r="F91" s="396"/>
      <c r="G91" s="396"/>
      <c r="H91" s="396"/>
      <c r="K91" s="56"/>
      <c r="L91" s="56"/>
      <c r="M91" s="84"/>
      <c r="S91" s="174"/>
      <c r="T91" s="84"/>
      <c r="AN91" s="106">
        <f>ROW()</f>
        <v>91</v>
      </c>
    </row>
    <row r="92" spans="2:40" ht="13.9" customHeight="1" x14ac:dyDescent="0.2">
      <c r="B92" s="396"/>
      <c r="C92" s="396"/>
      <c r="D92" s="396"/>
      <c r="E92" s="396"/>
      <c r="F92" s="396"/>
      <c r="G92" s="396"/>
      <c r="H92" s="396"/>
      <c r="K92" s="56"/>
      <c r="L92" s="56"/>
      <c r="M92" s="84"/>
      <c r="S92" s="174"/>
      <c r="T92" s="84"/>
      <c r="AN92" s="106">
        <f>ROW()</f>
        <v>92</v>
      </c>
    </row>
    <row r="93" spans="2:40" ht="13.9" customHeight="1" x14ac:dyDescent="0.2">
      <c r="B93" s="301" t="s">
        <v>608</v>
      </c>
      <c r="C93" s="298"/>
      <c r="D93" s="298"/>
      <c r="E93" s="298"/>
      <c r="F93" s="298"/>
      <c r="G93" s="298"/>
      <c r="H93" s="298"/>
      <c r="K93" s="56"/>
      <c r="L93" s="56"/>
      <c r="M93" s="84"/>
      <c r="S93" s="174"/>
      <c r="T93" s="84"/>
      <c r="AN93" s="106">
        <f>ROW()</f>
        <v>93</v>
      </c>
    </row>
    <row r="94" spans="2:40" ht="13.9" customHeight="1" x14ac:dyDescent="0.2">
      <c r="B94" s="298"/>
      <c r="C94" s="304" t="s">
        <v>187</v>
      </c>
      <c r="D94" s="304" t="s">
        <v>541</v>
      </c>
      <c r="E94" s="304" t="s">
        <v>542</v>
      </c>
      <c r="F94" s="304" t="s">
        <v>294</v>
      </c>
      <c r="G94" s="298"/>
      <c r="H94" s="298"/>
      <c r="K94" s="56"/>
      <c r="L94" s="56"/>
      <c r="M94" s="84"/>
      <c r="S94" s="174"/>
      <c r="T94" s="84"/>
      <c r="AN94" s="106">
        <f>ROW()</f>
        <v>94</v>
      </c>
    </row>
    <row r="95" spans="2:40" ht="13.9" customHeight="1" x14ac:dyDescent="0.2">
      <c r="B95" s="298"/>
      <c r="C95" s="303" t="s">
        <v>543</v>
      </c>
      <c r="D95" s="303" t="s">
        <v>681</v>
      </c>
      <c r="E95" s="303" t="s">
        <v>681</v>
      </c>
      <c r="F95" s="303" t="s">
        <v>681</v>
      </c>
      <c r="G95" s="298"/>
      <c r="H95" s="298"/>
      <c r="K95" s="56"/>
      <c r="L95" s="56"/>
      <c r="M95" s="84"/>
      <c r="S95" s="174"/>
      <c r="T95" s="84"/>
      <c r="AN95" s="106">
        <f>ROW()</f>
        <v>95</v>
      </c>
    </row>
    <row r="96" spans="2:40" ht="13.9" customHeight="1" x14ac:dyDescent="0.2">
      <c r="B96" s="298"/>
      <c r="C96" s="298"/>
      <c r="D96" s="298"/>
      <c r="E96" s="298"/>
      <c r="F96" s="298"/>
      <c r="G96" s="298"/>
      <c r="H96" s="298"/>
      <c r="K96" s="56"/>
      <c r="L96" s="56"/>
      <c r="M96" s="84"/>
      <c r="S96" s="174"/>
      <c r="T96" s="84"/>
      <c r="AN96" s="106">
        <f>ROW()</f>
        <v>96</v>
      </c>
    </row>
    <row r="97" spans="1:40" ht="13.9" customHeight="1" x14ac:dyDescent="0.2">
      <c r="B97" s="9" t="s">
        <v>539</v>
      </c>
      <c r="C97" s="298"/>
      <c r="D97" s="298"/>
      <c r="E97" s="298"/>
      <c r="F97" s="298"/>
      <c r="G97" s="298"/>
      <c r="H97" s="298"/>
      <c r="I97" s="298"/>
      <c r="J97" s="298"/>
      <c r="K97" s="56"/>
      <c r="L97" s="56"/>
      <c r="M97" s="84"/>
      <c r="S97" s="174"/>
      <c r="T97" s="84"/>
      <c r="AN97" s="106">
        <f>ROW()</f>
        <v>97</v>
      </c>
    </row>
    <row r="98" spans="1:40" ht="13.9" customHeight="1" x14ac:dyDescent="0.2">
      <c r="B98" s="92" t="s">
        <v>581</v>
      </c>
      <c r="C98" s="50"/>
      <c r="D98" s="50"/>
      <c r="E98" s="50"/>
      <c r="F98" s="50"/>
      <c r="G98" s="50"/>
      <c r="H98" s="50"/>
      <c r="I98" s="50"/>
      <c r="J98" s="305">
        <v>2012</v>
      </c>
      <c r="K98" s="136"/>
      <c r="L98" s="339"/>
      <c r="M98" s="174"/>
      <c r="N98" s="174"/>
      <c r="O98" s="174"/>
      <c r="P98" s="44"/>
      <c r="AN98" s="106">
        <f>ROW()</f>
        <v>98</v>
      </c>
    </row>
    <row r="99" spans="1:40" ht="13.9" customHeight="1" x14ac:dyDescent="0.2">
      <c r="B99" s="93" t="s">
        <v>540</v>
      </c>
      <c r="C99" s="53"/>
      <c r="D99" s="53"/>
      <c r="E99" s="53"/>
      <c r="F99" s="53"/>
      <c r="G99" s="53"/>
      <c r="H99" s="53"/>
      <c r="I99" s="53"/>
      <c r="J99" s="305">
        <v>2026</v>
      </c>
      <c r="K99" s="136"/>
      <c r="L99" s="174"/>
      <c r="M99" s="332"/>
      <c r="N99" s="174"/>
      <c r="O99" s="174"/>
      <c r="P99" s="44"/>
      <c r="AN99" s="106">
        <f>ROW()</f>
        <v>99</v>
      </c>
    </row>
    <row r="100" spans="1:40" ht="13.9" customHeight="1" x14ac:dyDescent="0.2">
      <c r="A100" s="84"/>
      <c r="B100" s="134"/>
      <c r="C100" s="135"/>
      <c r="D100" s="135"/>
      <c r="E100" s="135"/>
      <c r="F100" s="135"/>
      <c r="G100" s="135"/>
      <c r="H100" s="135"/>
      <c r="I100" s="135"/>
      <c r="J100" s="136"/>
      <c r="K100" s="136"/>
      <c r="L100" s="174"/>
      <c r="M100" s="174"/>
      <c r="N100" s="174"/>
      <c r="O100" s="174"/>
      <c r="P100" s="44"/>
      <c r="AN100" s="106">
        <f>ROW()</f>
        <v>100</v>
      </c>
    </row>
    <row r="101" spans="1:40" ht="13.9" customHeight="1" x14ac:dyDescent="0.25">
      <c r="A101" s="84"/>
      <c r="B101" s="70" t="s">
        <v>613</v>
      </c>
      <c r="C101" s="239"/>
      <c r="D101" s="239"/>
      <c r="E101" s="239"/>
      <c r="F101" s="239"/>
      <c r="G101" s="239"/>
      <c r="H101" s="239"/>
      <c r="I101" s="239"/>
      <c r="J101" s="302"/>
      <c r="K101" s="136"/>
      <c r="L101" s="174"/>
      <c r="M101" s="174"/>
      <c r="N101" s="174"/>
      <c r="O101" s="174"/>
      <c r="P101" s="44"/>
      <c r="AN101" s="106">
        <f>ROW()</f>
        <v>101</v>
      </c>
    </row>
    <row r="102" spans="1:40" ht="13.9" customHeight="1" x14ac:dyDescent="0.2">
      <c r="A102" s="84"/>
      <c r="B102" s="239"/>
      <c r="C102" s="239"/>
      <c r="D102" s="239"/>
      <c r="E102" s="239"/>
      <c r="F102" s="239"/>
      <c r="G102" s="239"/>
      <c r="H102" s="239"/>
      <c r="I102" s="239"/>
      <c r="J102" s="302"/>
      <c r="L102" s="84"/>
      <c r="M102" s="84"/>
      <c r="AN102" s="106">
        <f>ROW()</f>
        <v>102</v>
      </c>
    </row>
    <row r="103" spans="1:40" ht="13.9" customHeight="1" x14ac:dyDescent="0.2">
      <c r="A103" s="84"/>
      <c r="B103" s="1" t="s">
        <v>617</v>
      </c>
      <c r="C103" s="239"/>
      <c r="D103" s="239"/>
      <c r="E103" s="239"/>
      <c r="F103" s="239"/>
      <c r="G103" s="239"/>
      <c r="H103" s="239"/>
      <c r="I103" s="239"/>
      <c r="J103" s="302"/>
      <c r="L103" s="84"/>
      <c r="M103" s="84"/>
      <c r="AN103" s="106">
        <f>ROW()</f>
        <v>103</v>
      </c>
    </row>
    <row r="104" spans="1:40" ht="13.9" customHeight="1" x14ac:dyDescent="0.2">
      <c r="A104" s="84"/>
      <c r="B104" s="239"/>
      <c r="C104" s="239"/>
      <c r="D104" s="239"/>
      <c r="E104" s="239"/>
      <c r="F104" s="239"/>
      <c r="G104" s="239"/>
      <c r="H104" s="239"/>
      <c r="I104" s="239"/>
      <c r="J104" s="302"/>
      <c r="L104" s="84"/>
      <c r="M104" s="84"/>
      <c r="AN104" s="106">
        <f>ROW()</f>
        <v>104</v>
      </c>
    </row>
    <row r="105" spans="1:40" ht="13.9" customHeight="1" x14ac:dyDescent="0.2">
      <c r="A105" s="84"/>
      <c r="B105" s="333" t="s">
        <v>672</v>
      </c>
      <c r="C105" s="334"/>
      <c r="D105" s="334"/>
      <c r="E105" s="334"/>
      <c r="F105" s="334"/>
      <c r="G105" s="334"/>
      <c r="H105" s="335">
        <f>HLOOKUP(2020,$P$115:$AL$146, $AN$146-$AN$115+1)</f>
        <v>-9.4595536115370304E-2</v>
      </c>
      <c r="I105" s="239"/>
      <c r="J105" s="333" t="s">
        <v>673</v>
      </c>
      <c r="K105" s="334"/>
      <c r="L105" s="334"/>
      <c r="M105" s="334"/>
      <c r="N105" s="334"/>
      <c r="O105" s="334"/>
      <c r="P105" s="335">
        <f>HLOOKUP(2020,$P$115:$AL$183, $AN$178-$AN$115+1)/$I$169-1</f>
        <v>-9.0357323914269538E-2</v>
      </c>
      <c r="AN105" s="106">
        <f>ROW()</f>
        <v>105</v>
      </c>
    </row>
    <row r="106" spans="1:40" ht="13.9" customHeight="1" x14ac:dyDescent="0.2">
      <c r="A106" s="84"/>
      <c r="B106" s="336" t="s">
        <v>671</v>
      </c>
      <c r="C106" s="337"/>
      <c r="D106" s="337"/>
      <c r="E106" s="337"/>
      <c r="F106" s="337"/>
      <c r="G106" s="338"/>
      <c r="H106" s="335">
        <f>HLOOKUP(2020,$P$115:$AL$146, $AN$142-$AN$115+1)</f>
        <v>-0.10302462606662757</v>
      </c>
      <c r="I106" s="239"/>
      <c r="J106" s="336" t="s">
        <v>674</v>
      </c>
      <c r="K106" s="337"/>
      <c r="L106" s="337"/>
      <c r="M106" s="337"/>
      <c r="N106" s="337"/>
      <c r="O106" s="338"/>
      <c r="P106" s="335">
        <f>HLOOKUP(2020,$P$115:$AL$183, $AN$178-$AN$115+1)/HLOOKUP(2020,$P$115:$AL$183, $AN$169-$AN$115+1)-1</f>
        <v>-9.4375752345431718E-2</v>
      </c>
      <c r="AN106" s="106">
        <f>ROW()</f>
        <v>106</v>
      </c>
    </row>
    <row r="107" spans="1:40" ht="13.9" customHeight="1" x14ac:dyDescent="0.2">
      <c r="A107" s="84"/>
      <c r="B107" s="239"/>
      <c r="C107" s="239"/>
      <c r="D107" s="239"/>
      <c r="F107" s="407" t="s">
        <v>615</v>
      </c>
      <c r="G107" s="407" t="s">
        <v>616</v>
      </c>
      <c r="H107" s="239"/>
      <c r="I107" s="239"/>
      <c r="J107" s="302"/>
      <c r="K107" s="136"/>
      <c r="L107" s="174"/>
      <c r="M107" s="174"/>
      <c r="N107" s="174"/>
      <c r="O107" s="174"/>
      <c r="P107" s="44"/>
      <c r="AN107" s="106">
        <f>ROW()</f>
        <v>107</v>
      </c>
    </row>
    <row r="108" spans="1:40" ht="13.9" customHeight="1" x14ac:dyDescent="0.2">
      <c r="A108" s="84"/>
      <c r="B108" s="9" t="s">
        <v>675</v>
      </c>
      <c r="C108" s="239"/>
      <c r="D108" s="239"/>
      <c r="F108" s="408"/>
      <c r="G108" s="408"/>
      <c r="H108" s="439" t="str">
        <f>CONCATENATE("NB: CO2 reductions from electricity sector are more than ",ROUNDDOWN(G109/G110,0), "x as great as those from personal ground travel.")</f>
        <v>NB: CO2 reductions from electricity sector are more than 3x as great as those from personal ground travel.</v>
      </c>
      <c r="I108" s="440"/>
      <c r="J108" s="302"/>
      <c r="K108" s="136"/>
      <c r="L108" s="174"/>
      <c r="M108" s="174"/>
      <c r="N108" s="174"/>
      <c r="O108" s="174"/>
      <c r="P108" s="44"/>
      <c r="AN108" s="106">
        <f>ROW()</f>
        <v>108</v>
      </c>
    </row>
    <row r="109" spans="1:40" ht="13.9" customHeight="1" x14ac:dyDescent="0.2">
      <c r="A109" s="84"/>
      <c r="B109" s="172" t="s">
        <v>186</v>
      </c>
      <c r="C109" s="135"/>
      <c r="D109" s="135"/>
      <c r="F109" s="260">
        <f>1-X129/I119</f>
        <v>0.11011200624814388</v>
      </c>
      <c r="G109" s="379">
        <f>X149</f>
        <v>0.4498407721329587</v>
      </c>
      <c r="H109" s="441"/>
      <c r="I109" s="442"/>
      <c r="J109" s="136"/>
      <c r="K109" s="136"/>
      <c r="L109" s="174"/>
      <c r="M109" s="174"/>
      <c r="N109" s="174"/>
      <c r="O109" s="174"/>
      <c r="P109" s="44"/>
      <c r="AN109" s="106">
        <f>ROW()</f>
        <v>109</v>
      </c>
    </row>
    <row r="110" spans="1:40" ht="13.9" customHeight="1" x14ac:dyDescent="0.2">
      <c r="B110" s="172" t="s">
        <v>285</v>
      </c>
      <c r="F110" s="260">
        <f>1-X130/I120</f>
        <v>8.5046206346171771E-2</v>
      </c>
      <c r="G110" s="380">
        <f>X150</f>
        <v>0.14916779751230566</v>
      </c>
      <c r="H110" s="441"/>
      <c r="I110" s="442"/>
      <c r="L110" s="84"/>
      <c r="M110" s="84"/>
      <c r="AN110" s="106">
        <f>ROW()</f>
        <v>110</v>
      </c>
    </row>
    <row r="111" spans="1:40" ht="13.9" customHeight="1" x14ac:dyDescent="0.2">
      <c r="B111" s="172" t="s">
        <v>614</v>
      </c>
      <c r="C111" s="135"/>
      <c r="D111" s="135"/>
      <c r="F111" s="260">
        <f>1-X131/I121</f>
        <v>0.13866431225514619</v>
      </c>
      <c r="G111" s="260">
        <f>X151</f>
        <v>0.10647025216661134</v>
      </c>
      <c r="H111" s="443"/>
      <c r="I111" s="444"/>
      <c r="J111" s="136"/>
      <c r="K111" s="426" t="s">
        <v>137</v>
      </c>
      <c r="L111" s="424" t="s">
        <v>360</v>
      </c>
      <c r="M111" s="424" t="s">
        <v>360</v>
      </c>
      <c r="N111" s="397" t="s">
        <v>282</v>
      </c>
      <c r="O111" s="398"/>
      <c r="P111" s="393" t="s">
        <v>138</v>
      </c>
      <c r="R111" s="391" t="s">
        <v>33</v>
      </c>
      <c r="S111" s="392"/>
      <c r="T111" s="392"/>
      <c r="U111" s="392"/>
      <c r="AN111" s="106">
        <f>ROW()</f>
        <v>111</v>
      </c>
    </row>
    <row r="112" spans="1:40" ht="13.9" customHeight="1" x14ac:dyDescent="0.2">
      <c r="B112" s="172" t="s">
        <v>15</v>
      </c>
      <c r="F112" s="260">
        <f>1-X132/I122</f>
        <v>0.17095788826533187</v>
      </c>
      <c r="G112" s="260">
        <f>X152</f>
        <v>5.2595111814424986E-2</v>
      </c>
      <c r="H112" s="172"/>
      <c r="I112" s="172"/>
      <c r="K112" s="427"/>
      <c r="L112" s="425"/>
      <c r="M112" s="425"/>
      <c r="N112" s="399"/>
      <c r="O112" s="398"/>
      <c r="P112" s="394"/>
      <c r="R112" s="392"/>
      <c r="S112" s="392"/>
      <c r="T112" s="392"/>
      <c r="U112" s="392"/>
      <c r="AN112" s="106">
        <f>ROW()</f>
        <v>112</v>
      </c>
    </row>
    <row r="113" spans="2:40" ht="13.9" customHeight="1" x14ac:dyDescent="0.2">
      <c r="B113" s="172" t="s">
        <v>181</v>
      </c>
      <c r="F113" s="260">
        <f>1-X133/I123</f>
        <v>4.7609382201259542E-2</v>
      </c>
      <c r="G113" s="260">
        <f>X153</f>
        <v>0.24192606637369923</v>
      </c>
      <c r="H113" s="172"/>
      <c r="I113" s="172"/>
      <c r="K113" s="427"/>
      <c r="L113" s="425"/>
      <c r="M113" s="425"/>
      <c r="N113" s="399"/>
      <c r="O113" s="398"/>
      <c r="P113" s="394"/>
      <c r="R113" s="392"/>
      <c r="S113" s="392"/>
      <c r="T113" s="392"/>
      <c r="U113" s="392"/>
      <c r="AN113" s="106">
        <f>ROW()</f>
        <v>113</v>
      </c>
    </row>
    <row r="114" spans="2:40" ht="13.9" customHeight="1" x14ac:dyDescent="0.2">
      <c r="B114" s="301" t="s">
        <v>185</v>
      </c>
      <c r="F114" s="133">
        <f>X146</f>
        <v>-9.4595536115370304E-2</v>
      </c>
      <c r="G114" s="355">
        <f>SUM(G109:G113)</f>
        <v>1</v>
      </c>
      <c r="H114" s="172"/>
      <c r="I114" s="172"/>
      <c r="J114" s="13"/>
      <c r="K114" s="428"/>
      <c r="L114" s="425"/>
      <c r="M114" s="425"/>
      <c r="N114" s="399"/>
      <c r="O114" s="400"/>
      <c r="P114" s="395"/>
      <c r="Q114" s="13"/>
      <c r="AN114" s="106">
        <f>ROW()</f>
        <v>114</v>
      </c>
    </row>
    <row r="115" spans="2:40" ht="13.9" customHeight="1" x14ac:dyDescent="0.2">
      <c r="B115" s="301"/>
      <c r="E115" s="133"/>
      <c r="F115" s="355"/>
      <c r="G115" s="42"/>
      <c r="I115" s="13">
        <v>2005</v>
      </c>
      <c r="J115" s="13">
        <v>2006</v>
      </c>
      <c r="K115" s="170">
        <v>2007</v>
      </c>
      <c r="L115" s="170">
        <v>2008</v>
      </c>
      <c r="M115" s="170">
        <v>2009</v>
      </c>
      <c r="N115" s="340">
        <v>2010</v>
      </c>
      <c r="O115" s="170">
        <v>2011</v>
      </c>
      <c r="P115" s="130">
        <f>J98</f>
        <v>2012</v>
      </c>
      <c r="Q115" s="13">
        <f>P115+1</f>
        <v>2013</v>
      </c>
      <c r="R115" s="13">
        <f>Q115+1</f>
        <v>2014</v>
      </c>
      <c r="S115" s="13">
        <f>R115+1</f>
        <v>2015</v>
      </c>
      <c r="T115" s="13">
        <f t="shared" ref="T115:AM115" si="0">S115+1</f>
        <v>2016</v>
      </c>
      <c r="U115" s="13">
        <f t="shared" si="0"/>
        <v>2017</v>
      </c>
      <c r="V115" s="13">
        <f t="shared" si="0"/>
        <v>2018</v>
      </c>
      <c r="W115" s="13">
        <f t="shared" si="0"/>
        <v>2019</v>
      </c>
      <c r="X115" s="13">
        <f t="shared" si="0"/>
        <v>2020</v>
      </c>
      <c r="Y115" s="13">
        <f t="shared" si="0"/>
        <v>2021</v>
      </c>
      <c r="Z115" s="13">
        <f t="shared" si="0"/>
        <v>2022</v>
      </c>
      <c r="AA115" s="13">
        <f t="shared" si="0"/>
        <v>2023</v>
      </c>
      <c r="AB115" s="13">
        <f t="shared" si="0"/>
        <v>2024</v>
      </c>
      <c r="AC115" s="13">
        <f t="shared" si="0"/>
        <v>2025</v>
      </c>
      <c r="AD115" s="13">
        <f t="shared" si="0"/>
        <v>2026</v>
      </c>
      <c r="AE115" s="13">
        <f t="shared" si="0"/>
        <v>2027</v>
      </c>
      <c r="AF115" s="13">
        <f t="shared" si="0"/>
        <v>2028</v>
      </c>
      <c r="AG115" s="13">
        <f t="shared" si="0"/>
        <v>2029</v>
      </c>
      <c r="AH115" s="13">
        <f t="shared" si="0"/>
        <v>2030</v>
      </c>
      <c r="AI115" s="13">
        <f t="shared" si="0"/>
        <v>2031</v>
      </c>
      <c r="AJ115" s="13">
        <f t="shared" si="0"/>
        <v>2032</v>
      </c>
      <c r="AK115" s="13">
        <f t="shared" si="0"/>
        <v>2033</v>
      </c>
      <c r="AL115" s="13">
        <f t="shared" si="0"/>
        <v>2034</v>
      </c>
      <c r="AM115" s="13">
        <f t="shared" si="0"/>
        <v>2035</v>
      </c>
      <c r="AN115" s="106">
        <f>ROW()</f>
        <v>115</v>
      </c>
    </row>
    <row r="116" spans="2:40" ht="13.9" customHeight="1" x14ac:dyDescent="0.2">
      <c r="B116" s="1" t="s">
        <v>618</v>
      </c>
      <c r="F116" s="5"/>
      <c r="G116" s="42"/>
      <c r="I116" s="13"/>
      <c r="J116" s="13"/>
      <c r="M116"/>
      <c r="N116"/>
      <c r="O116"/>
      <c r="P116" s="84"/>
      <c r="R116" s="13"/>
      <c r="S116" s="13"/>
      <c r="T116" s="13"/>
      <c r="U116" s="13"/>
      <c r="V116" s="13"/>
      <c r="W116" s="13"/>
      <c r="X116" s="13"/>
      <c r="Y116" s="13"/>
      <c r="Z116" s="13"/>
      <c r="AA116" s="13"/>
      <c r="AB116" s="13"/>
      <c r="AC116" s="13"/>
      <c r="AD116" s="13"/>
      <c r="AE116" s="13"/>
      <c r="AF116" s="13"/>
      <c r="AG116" s="13"/>
      <c r="AH116" s="13"/>
      <c r="AI116" s="13"/>
      <c r="AJ116" s="13"/>
      <c r="AK116" s="13"/>
      <c r="AL116" s="13"/>
      <c r="AN116" s="106">
        <f>ROW()</f>
        <v>116</v>
      </c>
    </row>
    <row r="117" spans="2:40" s="42" customFormat="1" ht="13.9" customHeight="1" x14ac:dyDescent="0.2">
      <c r="G117" s="72" t="s">
        <v>111</v>
      </c>
      <c r="H117" s="73"/>
      <c r="I117" s="13" t="s">
        <v>578</v>
      </c>
      <c r="K117" s="13" t="s">
        <v>578</v>
      </c>
      <c r="L117" s="13" t="s">
        <v>578</v>
      </c>
      <c r="M117" s="13" t="s">
        <v>578</v>
      </c>
      <c r="N117" s="13" t="s">
        <v>579</v>
      </c>
      <c r="O117" s="13" t="s">
        <v>580</v>
      </c>
      <c r="P117" s="138"/>
      <c r="Q117" s="44"/>
      <c r="R117" s="44"/>
      <c r="S117" s="44"/>
      <c r="T117" s="44"/>
      <c r="U117" s="44"/>
      <c r="V117" s="44"/>
      <c r="W117" s="44"/>
      <c r="X117" s="44"/>
      <c r="Y117" s="44"/>
      <c r="Z117" s="44"/>
      <c r="AA117" s="44"/>
      <c r="AB117" s="44"/>
      <c r="AC117" s="44"/>
      <c r="AD117" s="44"/>
      <c r="AE117" s="44"/>
      <c r="AF117" s="44"/>
      <c r="AG117" s="44"/>
      <c r="AH117" s="44"/>
      <c r="AI117" s="44"/>
      <c r="AJ117" s="44"/>
      <c r="AK117" s="44"/>
      <c r="AL117" s="44"/>
      <c r="AN117" s="106">
        <f>ROW()</f>
        <v>117</v>
      </c>
    </row>
    <row r="118" spans="2:40" s="9" customFormat="1" ht="13.9" customHeight="1" x14ac:dyDescent="0.2">
      <c r="B118" s="9" t="s">
        <v>214</v>
      </c>
      <c r="G118" s="163">
        <f>K115</f>
        <v>2007</v>
      </c>
      <c r="H118" s="163">
        <f>M115</f>
        <v>2009</v>
      </c>
      <c r="I118" s="137">
        <f>SUM(I119:I123)</f>
        <v>5862.9</v>
      </c>
      <c r="J118" s="137"/>
      <c r="K118" s="137">
        <f>SUM(K119:K123)</f>
        <v>5884.3000000000011</v>
      </c>
      <c r="L118" s="137">
        <f>SUM(L119:L123)</f>
        <v>5699.5999999999995</v>
      </c>
      <c r="M118" s="137">
        <f>SUM(M119:M123)</f>
        <v>5332.1</v>
      </c>
      <c r="N118" s="137">
        <f>SUM(N119:N123)</f>
        <v>5541.5158982895991</v>
      </c>
      <c r="O118" s="137">
        <f>SUM(O119:O123)</f>
        <v>5541.3096846096032</v>
      </c>
      <c r="P118" s="137">
        <f t="shared" ref="P118:AK118" si="1">SUM(P119:P123)</f>
        <v>5563.8611951701323</v>
      </c>
      <c r="Q118" s="27">
        <f t="shared" si="1"/>
        <v>5606.9083446232671</v>
      </c>
      <c r="R118" s="27">
        <f t="shared" si="1"/>
        <v>5650.2982580446615</v>
      </c>
      <c r="S118" s="27">
        <f t="shared" si="1"/>
        <v>5694.0337496735847</v>
      </c>
      <c r="T118" s="27">
        <f t="shared" si="1"/>
        <v>5738.1176575830541</v>
      </c>
      <c r="U118" s="27">
        <f t="shared" si="1"/>
        <v>5782.5528438877718</v>
      </c>
      <c r="V118" s="27">
        <f t="shared" si="1"/>
        <v>5827.3421949539024</v>
      </c>
      <c r="W118" s="27">
        <f t="shared" si="1"/>
        <v>5872.4886216107579</v>
      </c>
      <c r="X118" s="27">
        <f t="shared" si="1"/>
        <v>5917.995059364358</v>
      </c>
      <c r="Y118" s="27">
        <f t="shared" si="1"/>
        <v>5963.8644686129173</v>
      </c>
      <c r="Z118" s="27">
        <f t="shared" si="1"/>
        <v>6010.0998348642634</v>
      </c>
      <c r="AA118" s="27">
        <f t="shared" si="1"/>
        <v>6056.7041689552116</v>
      </c>
      <c r="AB118" s="27">
        <f t="shared" si="1"/>
        <v>6103.6805072728876</v>
      </c>
      <c r="AC118" s="27">
        <f t="shared" si="1"/>
        <v>6151.0319119780625</v>
      </c>
      <c r="AD118" s="27">
        <f t="shared" si="1"/>
        <v>6198.7614712304721</v>
      </c>
      <c r="AE118" s="27">
        <f t="shared" si="1"/>
        <v>6246.8722994161781</v>
      </c>
      <c r="AF118" s="27">
        <f t="shared" si="1"/>
        <v>6295.3675373769538</v>
      </c>
      <c r="AG118" s="27">
        <f t="shared" si="1"/>
        <v>6344.2503526417368</v>
      </c>
      <c r="AH118" s="27">
        <f t="shared" si="1"/>
        <v>6393.5239396601692</v>
      </c>
      <c r="AI118" s="27">
        <f t="shared" si="1"/>
        <v>6443.1915200382209</v>
      </c>
      <c r="AJ118" s="27">
        <f t="shared" si="1"/>
        <v>6493.2563427759505</v>
      </c>
      <c r="AK118" s="27">
        <f t="shared" si="1"/>
        <v>6543.7216845073754</v>
      </c>
      <c r="AL118" s="27">
        <f>SUM(AL119:AL123)</f>
        <v>6594.5908497425353</v>
      </c>
      <c r="AM118" s="27"/>
      <c r="AN118" s="106">
        <f>ROW()</f>
        <v>118</v>
      </c>
    </row>
    <row r="119" spans="2:40" s="42" customFormat="1" ht="13.9" customHeight="1" x14ac:dyDescent="0.2">
      <c r="B119" s="42" t="s">
        <v>4</v>
      </c>
      <c r="G119" s="164">
        <f>K119/K$118</f>
        <v>0.41214757915130079</v>
      </c>
      <c r="H119" s="164">
        <f>M119/M$118</f>
        <v>0.406200183792502</v>
      </c>
      <c r="I119" s="138">
        <f>Emissions!G48</f>
        <v>2414.2999999999997</v>
      </c>
      <c r="J119" s="138"/>
      <c r="K119" s="138">
        <f>Emissions!I48</f>
        <v>2425.1999999999998</v>
      </c>
      <c r="L119" s="138">
        <f>Electricity!L43</f>
        <v>2372.6999999999998</v>
      </c>
      <c r="M119" s="138">
        <f>Electricity!M43</f>
        <v>2165.9</v>
      </c>
      <c r="N119" s="138">
        <f>Electricity!N43</f>
        <v>2271.5808741043061</v>
      </c>
      <c r="O119" s="138">
        <f>Electricity!O43</f>
        <v>2278.9503044038092</v>
      </c>
      <c r="P119" s="138">
        <f>Electricity!P43</f>
        <v>2286.9897898073041</v>
      </c>
      <c r="Q119" s="44">
        <f>Electricity!Q43</f>
        <v>2303.5317026564476</v>
      </c>
      <c r="R119" s="44">
        <f>Electricity!R43</f>
        <v>2320.1932639980892</v>
      </c>
      <c r="S119" s="44">
        <f>Electricity!S43</f>
        <v>2336.9753392558277</v>
      </c>
      <c r="T119" s="44">
        <f>Electricity!T43</f>
        <v>2353.878800112916</v>
      </c>
      <c r="U119" s="44">
        <f>Electricity!U43</f>
        <v>2370.9045245575339</v>
      </c>
      <c r="V119" s="44">
        <f>Electricity!V43</f>
        <v>2388.0533969283965</v>
      </c>
      <c r="W119" s="44">
        <f>Electricity!W43</f>
        <v>2405.3263079606836</v>
      </c>
      <c r="X119" s="44">
        <f>Electricity!X43</f>
        <v>2422.7241548323091</v>
      </c>
      <c r="Y119" s="44">
        <f>Electricity!Y43</f>
        <v>2440.2478412105188</v>
      </c>
      <c r="Z119" s="44">
        <f>Electricity!Z43</f>
        <v>2457.8982772988302</v>
      </c>
      <c r="AA119" s="44">
        <f>Electricity!AA43</f>
        <v>2475.676379884309</v>
      </c>
      <c r="AB119" s="44">
        <f>Electricity!AB43</f>
        <v>2493.5830723851882</v>
      </c>
      <c r="AC119" s="44">
        <f>Electricity!AC43</f>
        <v>2511.6192848988317</v>
      </c>
      <c r="AD119" s="44">
        <f>Electricity!AD43</f>
        <v>2529.7859542500419</v>
      </c>
      <c r="AE119" s="44">
        <f>Electricity!AE43</f>
        <v>2548.0840240397274</v>
      </c>
      <c r="AF119" s="44">
        <f>Electricity!AF43</f>
        <v>2566.5144446939053</v>
      </c>
      <c r="AG119" s="44">
        <f>Electricity!AG43</f>
        <v>2585.0781735130763</v>
      </c>
      <c r="AH119" s="44">
        <f>Electricity!AH43</f>
        <v>2603.7761747219402</v>
      </c>
      <c r="AI119" s="44">
        <f>Electricity!AI43</f>
        <v>2622.6094195194837</v>
      </c>
      <c r="AJ119" s="44">
        <f>Electricity!AJ43</f>
        <v>2641.57888612943</v>
      </c>
      <c r="AK119" s="44">
        <f>Electricity!AK43</f>
        <v>2660.6855598510342</v>
      </c>
      <c r="AL119" s="44">
        <f>Electricity!AL43</f>
        <v>2679.9304331102803</v>
      </c>
      <c r="AM119" s="44"/>
      <c r="AN119" s="106">
        <f>ROW()</f>
        <v>119</v>
      </c>
    </row>
    <row r="120" spans="2:40" s="42" customFormat="1" ht="13.9" customHeight="1" x14ac:dyDescent="0.2">
      <c r="B120" s="42" t="s">
        <v>284</v>
      </c>
      <c r="G120" s="164">
        <f>K120/K$118</f>
        <v>0.21714602416600101</v>
      </c>
      <c r="H120" s="164">
        <f>M120/M$118</f>
        <v>0.22933347836687229</v>
      </c>
      <c r="I120" s="138">
        <f>Emissions!G102</f>
        <v>1284.2521499999996</v>
      </c>
      <c r="J120" s="138"/>
      <c r="K120" s="138">
        <f>Emissions!I102</f>
        <v>1277.75235</v>
      </c>
      <c r="L120" s="138">
        <f>Emissions!J102</f>
        <v>1221.7457400000001</v>
      </c>
      <c r="M120" s="138">
        <f>Emissions!K102</f>
        <v>1222.8290399999998</v>
      </c>
      <c r="N120" s="138">
        <f>'Personal Ground Travel'!N46</f>
        <v>1223.5505716150258</v>
      </c>
      <c r="O120" s="138">
        <f>'Personal Ground Travel'!O46</f>
        <v>1198.404991476141</v>
      </c>
      <c r="P120" s="138">
        <f>'Personal Ground Travel'!P46</f>
        <v>1202.2254653928378</v>
      </c>
      <c r="Q120" s="44">
        <f>'Personal Ground Travel'!Q46</f>
        <v>1210.0156560741907</v>
      </c>
      <c r="R120" s="44">
        <f>'Personal Ground Travel'!R46</f>
        <v>1217.8563256986363</v>
      </c>
      <c r="S120" s="44">
        <f>'Personal Ground Travel'!S46</f>
        <v>1225.7478013600544</v>
      </c>
      <c r="T120" s="44">
        <f>'Personal Ground Travel'!T46</f>
        <v>1233.6904122718302</v>
      </c>
      <c r="U120" s="44">
        <f>'Personal Ground Travel'!U46</f>
        <v>1241.6844897805895</v>
      </c>
      <c r="V120" s="44">
        <f>'Personal Ground Travel'!V46</f>
        <v>1249.7303673800204</v>
      </c>
      <c r="W120" s="44">
        <f>'Personal Ground Travel'!W46</f>
        <v>1257.8283807247856</v>
      </c>
      <c r="X120" s="44">
        <f>'Personal Ground Travel'!X46</f>
        <v>1265.9788676445264</v>
      </c>
      <c r="Y120" s="44">
        <f>'Personal Ground Travel'!Y46</f>
        <v>1274.1821681579552</v>
      </c>
      <c r="Z120" s="44">
        <f>'Personal Ground Travel'!Z46</f>
        <v>1282.4386244870404</v>
      </c>
      <c r="AA120" s="44">
        <f>'Personal Ground Travel'!AA46</f>
        <v>1290.7485810712838</v>
      </c>
      <c r="AB120" s="44">
        <f>'Personal Ground Travel'!AB46</f>
        <v>1299.1123845820882</v>
      </c>
      <c r="AC120" s="44">
        <f>'Personal Ground Travel'!AC46</f>
        <v>1307.5303839372216</v>
      </c>
      <c r="AD120" s="44">
        <f>'Personal Ground Travel'!AD46</f>
        <v>1316.0029303153713</v>
      </c>
      <c r="AE120" s="44">
        <f>'Personal Ground Travel'!AE46</f>
        <v>1324.5303771707963</v>
      </c>
      <c r="AF120" s="44">
        <f>'Personal Ground Travel'!AF46</f>
        <v>1333.1130802480711</v>
      </c>
      <c r="AG120" s="44">
        <f>'Personal Ground Travel'!AG46</f>
        <v>1341.7513975969259</v>
      </c>
      <c r="AH120" s="44">
        <f>'Personal Ground Travel'!AH46</f>
        <v>1350.4456895871865</v>
      </c>
      <c r="AI120" s="44">
        <f>'Personal Ground Travel'!AI46</f>
        <v>1359.1963189238043</v>
      </c>
      <c r="AJ120" s="44">
        <f>'Personal Ground Travel'!AJ46</f>
        <v>1368.0036506619899</v>
      </c>
      <c r="AK120" s="44">
        <f>'Personal Ground Travel'!AK46</f>
        <v>1376.8680522224424</v>
      </c>
      <c r="AL120" s="44">
        <f>'Personal Ground Travel'!AL46</f>
        <v>1385.7898934066759</v>
      </c>
      <c r="AN120" s="106">
        <f>ROW()</f>
        <v>120</v>
      </c>
    </row>
    <row r="121" spans="2:40" s="42" customFormat="1" ht="13.9" customHeight="1" x14ac:dyDescent="0.2">
      <c r="B121" s="42" t="s">
        <v>296</v>
      </c>
      <c r="G121" s="164">
        <f>K121/K$118</f>
        <v>9.3435072990840029E-2</v>
      </c>
      <c r="H121" s="164">
        <f>M121/M$118</f>
        <v>8.5426004763601571E-2</v>
      </c>
      <c r="I121" s="138">
        <f>Emissions!G109</f>
        <v>521.5</v>
      </c>
      <c r="J121" s="138"/>
      <c r="K121" s="138">
        <f>Emissions!I109</f>
        <v>549.80000000000007</v>
      </c>
      <c r="L121" s="138">
        <f>Emissions!J109</f>
        <v>513.19999999999993</v>
      </c>
      <c r="M121" s="138">
        <f>Emissions!K109</f>
        <v>455.5</v>
      </c>
      <c r="N121" s="138">
        <f>Freight!N46</f>
        <v>474.65817041087655</v>
      </c>
      <c r="O121" s="138">
        <f>Freight!O46</f>
        <v>485.44201533718496</v>
      </c>
      <c r="P121" s="138">
        <f>Freight!P46</f>
        <v>486.94795283547552</v>
      </c>
      <c r="Q121" s="138">
        <f>Freight!Q46</f>
        <v>490.26210294759522</v>
      </c>
      <c r="R121" s="138">
        <f>Freight!R46</f>
        <v>493.59880904521953</v>
      </c>
      <c r="S121" s="138">
        <f>Freight!S46</f>
        <v>496.95822464356814</v>
      </c>
      <c r="T121" s="138">
        <f>Freight!T46</f>
        <v>500.34050430267934</v>
      </c>
      <c r="U121" s="138">
        <f>Freight!U46</f>
        <v>503.74580363452208</v>
      </c>
      <c r="V121" s="138">
        <f>Freight!V46</f>
        <v>507.17427931015396</v>
      </c>
      <c r="W121" s="138">
        <f>Freight!W46</f>
        <v>510.62608906693077</v>
      </c>
      <c r="X121" s="138">
        <f>Freight!X46</f>
        <v>514.1013917157627</v>
      </c>
      <c r="Y121" s="138">
        <f>Freight!Y46</f>
        <v>517.60034714842141</v>
      </c>
      <c r="Z121" s="138">
        <f>Freight!Z46</f>
        <v>521.12311634489595</v>
      </c>
      <c r="AA121" s="138">
        <f>Freight!AA46</f>
        <v>524.66986138079949</v>
      </c>
      <c r="AB121" s="138">
        <f>Freight!AB46</f>
        <v>528.24074543482595</v>
      </c>
      <c r="AC121" s="138">
        <f>Freight!AC46</f>
        <v>531.83593279625734</v>
      </c>
      <c r="AD121" s="138">
        <f>Freight!AD46</f>
        <v>535.45558887252298</v>
      </c>
      <c r="AE121" s="138">
        <f>Freight!AE46</f>
        <v>539.09988019680873</v>
      </c>
      <c r="AF121" s="138">
        <f>Freight!AF46</f>
        <v>542.76897443571954</v>
      </c>
      <c r="AG121" s="138">
        <f>Freight!AG46</f>
        <v>546.46304039699282</v>
      </c>
      <c r="AH121" s="138">
        <f>Freight!AH46</f>
        <v>550.18224803726571</v>
      </c>
      <c r="AI121" s="138">
        <f>Freight!AI46</f>
        <v>553.92676846989411</v>
      </c>
      <c r="AJ121" s="138">
        <f>Freight!AJ46</f>
        <v>557.69677397282487</v>
      </c>
      <c r="AK121" s="138">
        <f>Freight!AK46</f>
        <v>561.49243799652265</v>
      </c>
      <c r="AL121" s="138">
        <f>Freight!AL46</f>
        <v>565.3139351719492</v>
      </c>
      <c r="AN121" s="106">
        <f>ROW()</f>
        <v>121</v>
      </c>
    </row>
    <row r="122" spans="2:40" s="42" customFormat="1" ht="13.9" customHeight="1" x14ac:dyDescent="0.2">
      <c r="B122" s="42" t="s">
        <v>31</v>
      </c>
      <c r="G122" s="164">
        <f>K122/K$118</f>
        <v>3.8849140934350719E-2</v>
      </c>
      <c r="H122" s="164">
        <f>M122/M$118</f>
        <v>3.6739746066277827E-2</v>
      </c>
      <c r="I122" s="138">
        <f>Emissions!G106</f>
        <v>235.20000000000002</v>
      </c>
      <c r="J122" s="138"/>
      <c r="K122" s="138">
        <f>Emissions!I106</f>
        <v>228.59999999999997</v>
      </c>
      <c r="L122" s="138">
        <f>Emissions!J106</f>
        <v>216.3</v>
      </c>
      <c r="M122" s="138">
        <f>Emissions!K106</f>
        <v>195.90000000000003</v>
      </c>
      <c r="N122" s="138">
        <f>Aviation!N46</f>
        <v>212.0189694989798</v>
      </c>
      <c r="O122" s="138">
        <f>Aviation!O46</f>
        <v>212.33723904600714</v>
      </c>
      <c r="P122" s="138">
        <f>Aviation!P46</f>
        <v>212.99217939060156</v>
      </c>
      <c r="Q122" s="44">
        <f>Aviation!Q46</f>
        <v>214.70159867293441</v>
      </c>
      <c r="R122" s="44">
        <f>Aviation!R46</f>
        <v>216.42473730539157</v>
      </c>
      <c r="S122" s="44">
        <f>Aviation!S46</f>
        <v>218.16170539587333</v>
      </c>
      <c r="T122" s="44">
        <f>Aviation!T46</f>
        <v>219.91261393597711</v>
      </c>
      <c r="U122" s="44">
        <f>Aviation!U46</f>
        <v>221.67757480808953</v>
      </c>
      <c r="V122" s="44">
        <f>Aviation!V46</f>
        <v>223.45670079253608</v>
      </c>
      <c r="W122" s="44">
        <f>Aviation!W46</f>
        <v>225.2501055747874</v>
      </c>
      <c r="X122" s="44">
        <f>Aviation!X46</f>
        <v>227.05790375272383</v>
      </c>
      <c r="Y122" s="44">
        <f>Aviation!Y46</f>
        <v>228.88021084395825</v>
      </c>
      <c r="Z122" s="44">
        <f>Aviation!Z46</f>
        <v>230.71714329321756</v>
      </c>
      <c r="AA122" s="44">
        <f>Aviation!AA46</f>
        <v>232.56881847978343</v>
      </c>
      <c r="AB122" s="44">
        <f>Aviation!AB46</f>
        <v>234.43535472499281</v>
      </c>
      <c r="AC122" s="44">
        <f>Aviation!AC46</f>
        <v>236.31687129979858</v>
      </c>
      <c r="AD122" s="44">
        <f>Aviation!AD46</f>
        <v>238.21348843239105</v>
      </c>
      <c r="AE122" s="44">
        <f>Aviation!AE46</f>
        <v>240.12532731588041</v>
      </c>
      <c r="AF122" s="44">
        <f>Aviation!AF46</f>
        <v>242.05251011604076</v>
      </c>
      <c r="AG122" s="44">
        <f>Aviation!AG46</f>
        <v>243.99515997911678</v>
      </c>
      <c r="AH122" s="44">
        <f>Aviation!AH46</f>
        <v>245.95340103969244</v>
      </c>
      <c r="AI122" s="44">
        <f>Aviation!AI46</f>
        <v>247.92735842862336</v>
      </c>
      <c r="AJ122" s="44">
        <f>Aviation!AJ46</f>
        <v>249.91715828103253</v>
      </c>
      <c r="AK122" s="44">
        <f>Aviation!AK46</f>
        <v>251.92292774437024</v>
      </c>
      <c r="AL122" s="44">
        <f>Aviation!AL46</f>
        <v>253.94479498653885</v>
      </c>
      <c r="AN122" s="106">
        <f>ROW()</f>
        <v>122</v>
      </c>
    </row>
    <row r="123" spans="2:40" s="42" customFormat="1" ht="13.9" customHeight="1" x14ac:dyDescent="0.2">
      <c r="B123" s="42" t="s">
        <v>5</v>
      </c>
      <c r="G123" s="202">
        <f>K123/K$118</f>
        <v>0.23842218275750732</v>
      </c>
      <c r="H123" s="202">
        <f>M123/M$118</f>
        <v>0.24230058701074628</v>
      </c>
      <c r="I123" s="138">
        <f>Emissions!G112</f>
        <v>1407.6478500000001</v>
      </c>
      <c r="J123" s="138"/>
      <c r="K123" s="138">
        <f>Emissions!I112</f>
        <v>1402.9476500000005</v>
      </c>
      <c r="L123" s="138">
        <f>Emissions!J112</f>
        <v>1375.6542599999993</v>
      </c>
      <c r="M123" s="138">
        <f>Emissions!K112</f>
        <v>1291.9709600000003</v>
      </c>
      <c r="N123" s="138">
        <f>Other!N46</f>
        <v>1359.7073126604112</v>
      </c>
      <c r="O123" s="138">
        <f>Other!O46</f>
        <v>1366.1751343464607</v>
      </c>
      <c r="P123" s="138">
        <f>Other!P46</f>
        <v>1374.7058077439133</v>
      </c>
      <c r="Q123" s="44">
        <f>Other!Q46</f>
        <v>1388.3972842720991</v>
      </c>
      <c r="R123" s="44">
        <f>Other!R46</f>
        <v>1402.2251219973252</v>
      </c>
      <c r="S123" s="44">
        <f>Other!S46</f>
        <v>1416.1906790182609</v>
      </c>
      <c r="T123" s="44">
        <f>Other!T46</f>
        <v>1430.2953269596524</v>
      </c>
      <c r="U123" s="44">
        <f>Other!U46</f>
        <v>1444.5404511070365</v>
      </c>
      <c r="V123" s="44">
        <f>Other!V46</f>
        <v>1458.9274505427961</v>
      </c>
      <c r="W123" s="44">
        <f>Other!W46</f>
        <v>1473.4577382835705</v>
      </c>
      <c r="X123" s="44">
        <f>Other!X46</f>
        <v>1488.1327414190353</v>
      </c>
      <c r="Y123" s="44">
        <f>Other!Y46</f>
        <v>1502.9539012520627</v>
      </c>
      <c r="Z123" s="44">
        <f>Other!Z46</f>
        <v>1517.9226734402801</v>
      </c>
      <c r="AA123" s="44">
        <f>Other!AA46</f>
        <v>1533.0405281390363</v>
      </c>
      <c r="AB123" s="44">
        <f>Other!AB46</f>
        <v>1548.308950145793</v>
      </c>
      <c r="AC123" s="44">
        <f>Other!AC46</f>
        <v>1563.7294390459535</v>
      </c>
      <c r="AD123" s="44">
        <f>Other!AD46</f>
        <v>1579.3035093601447</v>
      </c>
      <c r="AE123" s="44">
        <f>Other!AE46</f>
        <v>1595.0326906929656</v>
      </c>
      <c r="AF123" s="44">
        <f>Other!AF46</f>
        <v>1610.9185278832165</v>
      </c>
      <c r="AG123" s="44">
        <f>Other!AG46</f>
        <v>1626.962581155625</v>
      </c>
      <c r="AH123" s="44">
        <f>Other!AH46</f>
        <v>1643.1664262740844</v>
      </c>
      <c r="AI123" s="44">
        <f>Other!AI46</f>
        <v>1659.5316546964157</v>
      </c>
      <c r="AJ123" s="44">
        <f>Other!AJ46</f>
        <v>1676.0598737306732</v>
      </c>
      <c r="AK123" s="44">
        <f>Other!AK46</f>
        <v>1692.7527066930058</v>
      </c>
      <c r="AL123" s="44">
        <f>Other!AL46</f>
        <v>1709.6117930670905</v>
      </c>
      <c r="AN123" s="106">
        <f>ROW()</f>
        <v>123</v>
      </c>
    </row>
    <row r="124" spans="2:40" s="42" customFormat="1" ht="13.9" customHeight="1" x14ac:dyDescent="0.2">
      <c r="G124" s="156"/>
      <c r="H124" s="156"/>
      <c r="I124"/>
      <c r="J124"/>
      <c r="K124"/>
      <c r="L124"/>
      <c r="M124"/>
      <c r="N124"/>
      <c r="O124" s="84"/>
      <c r="P124" s="384" t="str">
        <f>CONCATENATE("Note: Though each year's carbon tax rate is calculated off inputs chosen in Rows ",AN76, "-",AN85, " in this worksheet, the mathematical operations are performed in the 'Electricity' tab, and then fed back into the row directly below.")</f>
        <v>Note: Though each year's carbon tax rate is calculated off inputs chosen in Rows 76-85 in this worksheet, the mathematical operations are performed in the 'Electricity' tab, and then fed back into the row directly below.</v>
      </c>
      <c r="Q124" s="385"/>
      <c r="R124" s="385"/>
      <c r="S124" s="385"/>
      <c r="T124" s="385"/>
      <c r="U124" s="385"/>
      <c r="V124" s="385"/>
      <c r="W124" s="386"/>
      <c r="X124" s="44"/>
      <c r="Y124" s="44"/>
      <c r="Z124" s="44"/>
      <c r="AA124" s="44"/>
      <c r="AB124" s="44"/>
      <c r="AC124" s="44"/>
      <c r="AD124" s="44"/>
      <c r="AE124" s="44"/>
      <c r="AF124" s="44"/>
      <c r="AG124" s="44"/>
      <c r="AH124" s="44"/>
      <c r="AI124" s="44"/>
      <c r="AJ124" s="44"/>
      <c r="AK124" s="44"/>
      <c r="AL124" s="44"/>
      <c r="AN124" s="106">
        <f>ROW()</f>
        <v>124</v>
      </c>
    </row>
    <row r="125" spans="2:40" s="42" customFormat="1" ht="13.9" customHeight="1" x14ac:dyDescent="0.2">
      <c r="I125"/>
      <c r="J125"/>
      <c r="K125"/>
      <c r="L125"/>
      <c r="M125"/>
      <c r="N125"/>
      <c r="O125"/>
      <c r="P125" s="387"/>
      <c r="Q125" s="388"/>
      <c r="R125" s="388"/>
      <c r="S125" s="388"/>
      <c r="T125" s="388"/>
      <c r="U125" s="388"/>
      <c r="V125" s="388"/>
      <c r="W125" s="389"/>
      <c r="X125" s="44"/>
      <c r="Y125" s="44"/>
      <c r="Z125" s="44"/>
      <c r="AA125" s="44"/>
      <c r="AB125" s="44"/>
      <c r="AC125" s="44"/>
      <c r="AD125" s="44"/>
      <c r="AE125" s="44"/>
      <c r="AF125" s="44"/>
      <c r="AG125" s="44"/>
      <c r="AH125" s="44"/>
      <c r="AI125" s="44"/>
      <c r="AJ125" s="44"/>
      <c r="AK125" s="44"/>
      <c r="AL125" s="44"/>
      <c r="AN125" s="106">
        <f>ROW()</f>
        <v>125</v>
      </c>
    </row>
    <row r="126" spans="2:40" s="42" customFormat="1" ht="13.9" customHeight="1" x14ac:dyDescent="0.2">
      <c r="B126" s="9" t="s">
        <v>144</v>
      </c>
      <c r="I126" s="147"/>
      <c r="J126" s="147"/>
      <c r="K126" s="147"/>
      <c r="L126" s="147"/>
      <c r="M126" s="147"/>
      <c r="N126" s="147"/>
      <c r="O126" s="137"/>
      <c r="P126" s="161">
        <f>Electricity!P18</f>
        <v>10</v>
      </c>
      <c r="Q126" s="161">
        <f>Electricity!Q18</f>
        <v>11</v>
      </c>
      <c r="R126" s="161">
        <f>Electricity!R18</f>
        <v>12.100000000000001</v>
      </c>
      <c r="S126" s="161">
        <f>Electricity!S18</f>
        <v>13.310000000000004</v>
      </c>
      <c r="T126" s="161">
        <f>Electricity!T18</f>
        <v>14.641000000000004</v>
      </c>
      <c r="U126" s="161">
        <f>Electricity!U18</f>
        <v>16.105100000000007</v>
      </c>
      <c r="V126" s="161">
        <f>Electricity!V18</f>
        <v>17.715610000000009</v>
      </c>
      <c r="W126" s="161">
        <f>Electricity!W18</f>
        <v>19.487171000000011</v>
      </c>
      <c r="X126" s="161">
        <f>Electricity!X18</f>
        <v>21.43588810000001</v>
      </c>
      <c r="Y126" s="161">
        <f>Electricity!Y18</f>
        <v>23.579476910000015</v>
      </c>
      <c r="Z126" s="161">
        <f>Electricity!Z18</f>
        <v>25.937424601000018</v>
      </c>
      <c r="AA126" s="161">
        <f>Electricity!AA18</f>
        <v>28.531167061100025</v>
      </c>
      <c r="AB126" s="161">
        <f>Electricity!AB18</f>
        <v>31.384283767210025</v>
      </c>
      <c r="AC126" s="161">
        <f>Electricity!AC18</f>
        <v>34.522712143931031</v>
      </c>
      <c r="AD126" s="161">
        <f>Electricity!AD18</f>
        <v>37.974983358324138</v>
      </c>
      <c r="AE126" s="161">
        <f>Electricity!AE18</f>
        <v>37.974983358324138</v>
      </c>
      <c r="AF126" s="161">
        <f>Electricity!AF18</f>
        <v>37.974983358324138</v>
      </c>
      <c r="AG126" s="161">
        <f>Electricity!AG18</f>
        <v>37.974983358324138</v>
      </c>
      <c r="AH126" s="161">
        <f>Electricity!AH18</f>
        <v>37.974983358324138</v>
      </c>
      <c r="AI126" s="161">
        <f>Electricity!AI18</f>
        <v>37.974983358324138</v>
      </c>
      <c r="AJ126" s="161">
        <f>Electricity!AJ18</f>
        <v>37.974983358324138</v>
      </c>
      <c r="AK126" s="161">
        <f>Electricity!AK18</f>
        <v>37.974983358324138</v>
      </c>
      <c r="AL126" s="161">
        <f>Electricity!AL18</f>
        <v>37.974983358324138</v>
      </c>
      <c r="AN126" s="106">
        <f>ROW()</f>
        <v>126</v>
      </c>
    </row>
    <row r="127" spans="2:40" s="42" customFormat="1" ht="13.9" customHeight="1" x14ac:dyDescent="0.2">
      <c r="I127" s="147"/>
      <c r="J127" s="147"/>
      <c r="K127" s="147"/>
      <c r="L127" s="147"/>
      <c r="M127" s="137"/>
      <c r="N127" s="137"/>
      <c r="O127" s="137"/>
      <c r="P127" s="147"/>
      <c r="Q127" s="44"/>
      <c r="R127" s="44"/>
      <c r="S127" s="44"/>
      <c r="T127" s="44"/>
      <c r="U127" s="44"/>
      <c r="V127" s="44"/>
      <c r="W127" s="44"/>
      <c r="X127" s="44"/>
      <c r="Y127" s="44"/>
      <c r="Z127" s="44"/>
      <c r="AA127" s="44"/>
      <c r="AB127" s="44"/>
      <c r="AC127" s="44"/>
      <c r="AD127" s="44"/>
      <c r="AE127" s="44"/>
      <c r="AF127" s="44"/>
      <c r="AG127" s="44"/>
      <c r="AH127" s="44"/>
      <c r="AI127" s="44"/>
      <c r="AJ127" s="44"/>
      <c r="AK127" s="44"/>
      <c r="AL127" s="44"/>
      <c r="AN127" s="106">
        <f>ROW()</f>
        <v>127</v>
      </c>
    </row>
    <row r="128" spans="2:40" s="9" customFormat="1" ht="13.9" customHeight="1" x14ac:dyDescent="0.2">
      <c r="B128" s="9" t="s">
        <v>446</v>
      </c>
      <c r="K128" s="137">
        <f>K118</f>
        <v>5884.3000000000011</v>
      </c>
      <c r="L128" s="137">
        <f>L118</f>
        <v>5699.5999999999995</v>
      </c>
      <c r="M128" s="137">
        <f>M118</f>
        <v>5332.1</v>
      </c>
      <c r="N128" s="137">
        <f>N118</f>
        <v>5541.5158982895991</v>
      </c>
      <c r="O128" s="137">
        <f>O118</f>
        <v>5541.3096846096032</v>
      </c>
      <c r="P128" s="27">
        <f t="shared" ref="P128:AL128" si="2">SUM(P129:P133)</f>
        <v>5435.6247918920571</v>
      </c>
      <c r="Q128" s="27">
        <f t="shared" si="2"/>
        <v>5437.1109929833619</v>
      </c>
      <c r="R128" s="27">
        <f t="shared" si="2"/>
        <v>5434.1422888090838</v>
      </c>
      <c r="S128" s="27">
        <f t="shared" si="2"/>
        <v>5426.4670668862836</v>
      </c>
      <c r="T128" s="27">
        <f t="shared" si="2"/>
        <v>5413.8270064820344</v>
      </c>
      <c r="U128" s="27">
        <f t="shared" si="2"/>
        <v>5395.9582914109424</v>
      </c>
      <c r="V128" s="27">
        <f t="shared" si="2"/>
        <v>5372.5931928477085</v>
      </c>
      <c r="W128" s="27">
        <f t="shared" si="2"/>
        <v>5343.4620695842323</v>
      </c>
      <c r="X128" s="27">
        <f t="shared" si="2"/>
        <v>5308.2958313091949</v>
      </c>
      <c r="Y128" s="27">
        <f t="shared" si="2"/>
        <v>5266.828906273392</v>
      </c>
      <c r="Z128" s="27">
        <f t="shared" si="2"/>
        <v>5244.8201939088422</v>
      </c>
      <c r="AA128" s="27">
        <f t="shared" si="2"/>
        <v>5218.7533734787612</v>
      </c>
      <c r="AB128" s="27">
        <f t="shared" si="2"/>
        <v>5188.3700811671733</v>
      </c>
      <c r="AC128" s="27">
        <f t="shared" si="2"/>
        <v>5153.6615978576565</v>
      </c>
      <c r="AD128" s="27">
        <f t="shared" si="2"/>
        <v>5114.6208855322366</v>
      </c>
      <c r="AE128" s="27">
        <f t="shared" si="2"/>
        <v>5106.3005338952162</v>
      </c>
      <c r="AF128" s="27">
        <f t="shared" si="2"/>
        <v>5096.7101677101437</v>
      </c>
      <c r="AG128" s="27">
        <f t="shared" si="2"/>
        <v>5086.0499549215365</v>
      </c>
      <c r="AH128" s="27">
        <f t="shared" si="2"/>
        <v>5074.529516926139</v>
      </c>
      <c r="AI128" s="27">
        <f t="shared" si="2"/>
        <v>5062.3670671333239</v>
      </c>
      <c r="AJ128" s="27">
        <f t="shared" si="2"/>
        <v>5049.7884788923311</v>
      </c>
      <c r="AK128" s="27">
        <f t="shared" si="2"/>
        <v>5037.0262843332957</v>
      </c>
      <c r="AL128" s="27">
        <f t="shared" si="2"/>
        <v>5024.3186051231223</v>
      </c>
      <c r="AM128" s="12"/>
      <c r="AN128" s="106">
        <f>ROW()</f>
        <v>128</v>
      </c>
    </row>
    <row r="129" spans="2:40" s="42" customFormat="1" ht="13.9" customHeight="1" x14ac:dyDescent="0.2">
      <c r="B129" s="42" t="s">
        <v>4</v>
      </c>
      <c r="H129" s="43"/>
      <c r="M129" s="174"/>
      <c r="N129" s="174"/>
      <c r="O129" s="174"/>
      <c r="P129" s="44">
        <f>Electricity!P60</f>
        <v>2207.9342777878501</v>
      </c>
      <c r="Q129" s="44">
        <f>Electricity!Q60</f>
        <v>2206.8499802076544</v>
      </c>
      <c r="R129" s="44">
        <f>Electricity!R60</f>
        <v>2204.2226003174642</v>
      </c>
      <c r="S129" s="44">
        <f>Electricity!S60</f>
        <v>2199.9233458484509</v>
      </c>
      <c r="T129" s="44">
        <f>Electricity!T60</f>
        <v>2193.817418862106</v>
      </c>
      <c r="U129" s="44">
        <f>Electricity!U60</f>
        <v>2185.7645504303664</v>
      </c>
      <c r="V129" s="44">
        <f>Electricity!V60</f>
        <v>2175.6197348288356</v>
      </c>
      <c r="W129" s="44">
        <f>Electricity!W60</f>
        <v>2163.2341915159077</v>
      </c>
      <c r="X129" s="44">
        <f>Electricity!X60</f>
        <v>2148.4565833151059</v>
      </c>
      <c r="Y129" s="44">
        <f>Electricity!Y60</f>
        <v>2131.1345182520149</v>
      </c>
      <c r="Z129" s="44">
        <f>Electricity!Z60</f>
        <v>2120.0912071062553</v>
      </c>
      <c r="AA129" s="44">
        <f>Electricity!AA60</f>
        <v>2106.8096153138608</v>
      </c>
      <c r="AB129" s="44">
        <f>Electricity!AB60</f>
        <v>2091.1484346749653</v>
      </c>
      <c r="AC129" s="44">
        <f>Electricity!AC60</f>
        <v>2073.0581350085859</v>
      </c>
      <c r="AD129" s="44">
        <f>Electricity!AD60</f>
        <v>2052.4881690088232</v>
      </c>
      <c r="AE129" s="44">
        <f>Electricity!AE60</f>
        <v>2053.3692684877742</v>
      </c>
      <c r="AF129" s="44">
        <f>Electricity!AF60</f>
        <v>2053.7504193449213</v>
      </c>
      <c r="AG129" s="44">
        <f>Electricity!AG60</f>
        <v>2053.7074995430867</v>
      </c>
      <c r="AH129" s="44">
        <f>Electricity!AH60</f>
        <v>2053.3199882130798</v>
      </c>
      <c r="AI129" s="44">
        <f>Electricity!AI60</f>
        <v>2052.670570534327</v>
      </c>
      <c r="AJ129" s="44">
        <f>Electricity!AJ60</f>
        <v>2051.8446771728536</v>
      </c>
      <c r="AK129" s="44">
        <f>Electricity!AK60</f>
        <v>2050.9299509689477</v>
      </c>
      <c r="AL129" s="44">
        <f>Electricity!AL60</f>
        <v>2050.0156325561547</v>
      </c>
      <c r="AN129" s="106">
        <f>ROW()</f>
        <v>129</v>
      </c>
    </row>
    <row r="130" spans="2:40" s="42" customFormat="1" ht="13.9" customHeight="1" x14ac:dyDescent="0.2">
      <c r="B130" s="42" t="s">
        <v>450</v>
      </c>
      <c r="H130" s="43"/>
      <c r="M130" s="349"/>
      <c r="N130" s="174"/>
      <c r="O130" s="174"/>
      <c r="P130" s="44">
        <f>'Personal Ground Travel'!P60</f>
        <v>1187.2295001968887</v>
      </c>
      <c r="Q130" s="44">
        <f>'Personal Ground Travel'!Q60</f>
        <v>1189.7653382681031</v>
      </c>
      <c r="R130" s="44">
        <f>'Personal Ground Travel'!R60</f>
        <v>1191.1981712574634</v>
      </c>
      <c r="S130" s="44">
        <f>'Personal Ground Travel'!S60</f>
        <v>1191.4980508015676</v>
      </c>
      <c r="T130" s="44">
        <f>'Personal Ground Travel'!T60</f>
        <v>1190.6360321386439</v>
      </c>
      <c r="U130" s="44">
        <f>'Personal Ground Travel'!U60</f>
        <v>1188.5842776242969</v>
      </c>
      <c r="V130" s="44">
        <f>'Personal Ground Travel'!V60</f>
        <v>1185.316172985674</v>
      </c>
      <c r="W130" s="44">
        <f>'Personal Ground Travel'!W60</f>
        <v>1180.8064584047606</v>
      </c>
      <c r="X130" s="44">
        <f>'Personal Ground Travel'!X60</f>
        <v>1175.0313766505849</v>
      </c>
      <c r="Y130" s="44">
        <f>'Personal Ground Travel'!Y60</f>
        <v>1167.968840578965</v>
      </c>
      <c r="Z130" s="44">
        <f>'Personal Ground Travel'!Z60</f>
        <v>1162.5031245359289</v>
      </c>
      <c r="AA130" s="44">
        <f>'Personal Ground Travel'!AA60</f>
        <v>1156.6166362774225</v>
      </c>
      <c r="AB130" s="44">
        <f>'Personal Ground Travel'!AB60</f>
        <v>1150.2779791073162</v>
      </c>
      <c r="AC130" s="44">
        <f>'Personal Ground Travel'!AC60</f>
        <v>1143.4785336336001</v>
      </c>
      <c r="AD130" s="44">
        <f>'Personal Ground Travel'!AD60</f>
        <v>1136.2085593854958</v>
      </c>
      <c r="AE130" s="44">
        <f>'Personal Ground Travel'!AE60</f>
        <v>1132.7721785427577</v>
      </c>
      <c r="AF130" s="44">
        <f>'Personal Ground Travel'!AF60</f>
        <v>1129.2261187447436</v>
      </c>
      <c r="AG130" s="44">
        <f>'Personal Ground Travel'!AG60</f>
        <v>1125.5885763810238</v>
      </c>
      <c r="AH130" s="44">
        <f>'Personal Ground Travel'!AH60</f>
        <v>1121.8786345895626</v>
      </c>
      <c r="AI130" s="44">
        <f>'Personal Ground Travel'!AI60</f>
        <v>1118.1162736571966</v>
      </c>
      <c r="AJ130" s="44">
        <f>'Personal Ground Travel'!AJ60</f>
        <v>1114.3223798585807</v>
      </c>
      <c r="AK130" s="44">
        <f>'Personal Ground Travel'!AK60</f>
        <v>1110.5187524242051</v>
      </c>
      <c r="AL130" s="44">
        <f>'Personal Ground Travel'!AL60</f>
        <v>1106.728108289745</v>
      </c>
      <c r="AN130" s="106">
        <f>ROW()</f>
        <v>130</v>
      </c>
    </row>
    <row r="131" spans="2:40" s="42" customFormat="1" ht="13.9" customHeight="1" x14ac:dyDescent="0.2">
      <c r="B131" s="42" t="s">
        <v>296</v>
      </c>
      <c r="H131" s="43"/>
      <c r="K131"/>
      <c r="M131" s="174"/>
      <c r="N131" s="174"/>
      <c r="O131" s="174"/>
      <c r="P131" s="44">
        <f>Freight!P60</f>
        <v>477.91772557756423</v>
      </c>
      <c r="Q131" s="44">
        <f>Freight!Q60</f>
        <v>476.08285672791101</v>
      </c>
      <c r="R131" s="44">
        <f>Freight!R60</f>
        <v>473.74901912227074</v>
      </c>
      <c r="S131" s="44">
        <f>Freight!S60</f>
        <v>470.91348489290465</v>
      </c>
      <c r="T131" s="44">
        <f>Freight!T60</f>
        <v>467.57452619313534</v>
      </c>
      <c r="U131" s="44">
        <f>Freight!U60</f>
        <v>463.73144417141174</v>
      </c>
      <c r="V131" s="44">
        <f>Freight!V60</f>
        <v>459.38459953801345</v>
      </c>
      <c r="W131" s="44">
        <f>Freight!W60</f>
        <v>454.53544516553802</v>
      </c>
      <c r="X131" s="44">
        <f>Freight!X60</f>
        <v>449.18656115894129</v>
      </c>
      <c r="Y131" s="44">
        <f>Freight!Y60</f>
        <v>443.34169281102294</v>
      </c>
      <c r="Z131" s="44">
        <f>Freight!Z60</f>
        <v>440.81036059793109</v>
      </c>
      <c r="AA131" s="44">
        <f>Freight!AA60</f>
        <v>438.12679972032373</v>
      </c>
      <c r="AB131" s="44">
        <f>Freight!AB60</f>
        <v>435.27999010286959</v>
      </c>
      <c r="AC131" s="44">
        <f>Freight!AC60</f>
        <v>432.26702964354166</v>
      </c>
      <c r="AD131" s="44">
        <f>Freight!AD60</f>
        <v>429.08457367771342</v>
      </c>
      <c r="AE131" s="44">
        <f>Freight!AE60</f>
        <v>427.35673298693081</v>
      </c>
      <c r="AF131" s="44">
        <f>Freight!AF60</f>
        <v>425.59273353063639</v>
      </c>
      <c r="AG131" s="44">
        <f>Freight!AG60</f>
        <v>423.79928403656226</v>
      </c>
      <c r="AH131" s="44">
        <f>Freight!AH60</f>
        <v>421.98336049395414</v>
      </c>
      <c r="AI131" s="44">
        <f>Freight!AI60</f>
        <v>420.15220576793837</v>
      </c>
      <c r="AJ131" s="44">
        <f>Freight!AJ60</f>
        <v>418.31332848303725</v>
      </c>
      <c r="AK131" s="44">
        <f>Freight!AK60</f>
        <v>416.47450106059551</v>
      </c>
      <c r="AL131" s="44">
        <f>Freight!AL60</f>
        <v>414.64375678076328</v>
      </c>
      <c r="AN131" s="106">
        <f>ROW()</f>
        <v>131</v>
      </c>
    </row>
    <row r="132" spans="2:40" s="42" customFormat="1" ht="13.9" customHeight="1" x14ac:dyDescent="0.2">
      <c r="B132" s="42" t="s">
        <v>451</v>
      </c>
      <c r="H132" s="43"/>
      <c r="K132"/>
      <c r="M132" s="174"/>
      <c r="N132" s="174"/>
      <c r="O132" s="174"/>
      <c r="P132" s="44">
        <f>Aviation!P60</f>
        <v>210.39155864576077</v>
      </c>
      <c r="Q132" s="44">
        <f>Aviation!Q60</f>
        <v>209.55746508923923</v>
      </c>
      <c r="R132" s="44">
        <f>Aviation!R60</f>
        <v>208.40867051971964</v>
      </c>
      <c r="S132" s="44">
        <f>Aviation!S60</f>
        <v>206.9451391240132</v>
      </c>
      <c r="T132" s="44">
        <f>Aviation!T60</f>
        <v>205.16803804714877</v>
      </c>
      <c r="U132" s="44">
        <f>Aviation!U60</f>
        <v>203.07976317989275</v>
      </c>
      <c r="V132" s="44">
        <f>Aviation!V60</f>
        <v>200.68396062752973</v>
      </c>
      <c r="W132" s="44">
        <f>Aviation!W60</f>
        <v>197.98554363121912</v>
      </c>
      <c r="X132" s="44">
        <f>Aviation!X60</f>
        <v>194.99070467999397</v>
      </c>
      <c r="Y132" s="44">
        <f>Aviation!Y60</f>
        <v>191.70692251000682</v>
      </c>
      <c r="Z132" s="44">
        <f>Aviation!Z60</f>
        <v>190.08763545484553</v>
      </c>
      <c r="AA132" s="44">
        <f>Aviation!AA60</f>
        <v>188.41782778635451</v>
      </c>
      <c r="AB132" s="44">
        <f>Aviation!AB60</f>
        <v>186.69487185657007</v>
      </c>
      <c r="AC132" s="44">
        <f>Aviation!AC60</f>
        <v>184.92386172038258</v>
      </c>
      <c r="AD132" s="44">
        <f>Aviation!AD60</f>
        <v>183.10998296431481</v>
      </c>
      <c r="AE132" s="44">
        <f>Aviation!AE60</f>
        <v>181.39635287351996</v>
      </c>
      <c r="AF132" s="44">
        <f>Aviation!AF60</f>
        <v>179.66133279512059</v>
      </c>
      <c r="AG132" s="44">
        <f>Aviation!AG60</f>
        <v>177.91117112887846</v>
      </c>
      <c r="AH132" s="44">
        <f>Aviation!AH60</f>
        <v>176.15222979636573</v>
      </c>
      <c r="AI132" s="44">
        <f>Aviation!AI60</f>
        <v>174.39097649432466</v>
      </c>
      <c r="AJ132" s="44">
        <f>Aviation!AJ60</f>
        <v>172.63397770702588</v>
      </c>
      <c r="AK132" s="44">
        <f>Aviation!AK60</f>
        <v>170.88789262131627</v>
      </c>
      <c r="AL132" s="44">
        <f>Aviation!AL60</f>
        <v>169.15946809795381</v>
      </c>
      <c r="AN132" s="106">
        <f>ROW()</f>
        <v>132</v>
      </c>
    </row>
    <row r="133" spans="2:40" s="42" customFormat="1" ht="13.9" customHeight="1" x14ac:dyDescent="0.2">
      <c r="B133" s="42" t="s">
        <v>5</v>
      </c>
      <c r="H133" s="43"/>
      <c r="K133"/>
      <c r="M133" s="174"/>
      <c r="N133" s="174"/>
      <c r="O133" s="174"/>
      <c r="P133" s="44">
        <f>Other!P60</f>
        <v>1352.1517296839934</v>
      </c>
      <c r="Q133" s="44">
        <f>Other!Q60</f>
        <v>1354.8553526904545</v>
      </c>
      <c r="R133" s="44">
        <f>Other!R60</f>
        <v>1356.563827592166</v>
      </c>
      <c r="S133" s="44">
        <f>Other!S60</f>
        <v>1357.1870462193472</v>
      </c>
      <c r="T133" s="44">
        <f>Other!T60</f>
        <v>1356.6309912410004</v>
      </c>
      <c r="U133" s="44">
        <f>Other!U60</f>
        <v>1354.7982560049745</v>
      </c>
      <c r="V133" s="44">
        <f>Other!V60</f>
        <v>1351.5887248676554</v>
      </c>
      <c r="W133" s="44">
        <f>Other!W60</f>
        <v>1346.9004308668066</v>
      </c>
      <c r="X133" s="44">
        <f>Other!X60</f>
        <v>1340.6306055045688</v>
      </c>
      <c r="Y133" s="44">
        <f>Other!Y60</f>
        <v>1332.6769321213826</v>
      </c>
      <c r="Z133" s="44">
        <f>Other!Z60</f>
        <v>1331.3278662138807</v>
      </c>
      <c r="AA133" s="44">
        <f>Other!AA60</f>
        <v>1328.7824943808005</v>
      </c>
      <c r="AB133" s="44">
        <f>Other!AB60</f>
        <v>1324.9688054254518</v>
      </c>
      <c r="AC133" s="44">
        <f>Other!AC60</f>
        <v>1319.934037851546</v>
      </c>
      <c r="AD133" s="44">
        <f>Other!AD60</f>
        <v>1313.7296004958889</v>
      </c>
      <c r="AE133" s="44">
        <f>Other!AE60</f>
        <v>1311.406001004234</v>
      </c>
      <c r="AF133" s="44">
        <f>Other!AF60</f>
        <v>1308.4795632947221</v>
      </c>
      <c r="AG133" s="44">
        <f>Other!AG60</f>
        <v>1305.0434238319854</v>
      </c>
      <c r="AH133" s="44">
        <f>Other!AH60</f>
        <v>1301.1953038331765</v>
      </c>
      <c r="AI133" s="44">
        <f>Other!AI60</f>
        <v>1297.0370406795375</v>
      </c>
      <c r="AJ133" s="44">
        <f>Other!AJ60</f>
        <v>1292.6741156708335</v>
      </c>
      <c r="AK133" s="44">
        <f>Other!AK60</f>
        <v>1288.2151872582308</v>
      </c>
      <c r="AL133" s="44">
        <f>Other!AL60</f>
        <v>1283.7716393985052</v>
      </c>
      <c r="AN133" s="106">
        <f>ROW()</f>
        <v>133</v>
      </c>
    </row>
    <row r="134" spans="2:40" s="42" customFormat="1" ht="13.9" customHeight="1" x14ac:dyDescent="0.2">
      <c r="H134" s="43"/>
      <c r="K134"/>
      <c r="M134" s="174"/>
      <c r="N134" s="174"/>
      <c r="O134" s="174"/>
      <c r="P134" s="45"/>
      <c r="Q134" s="45"/>
      <c r="R134" s="45"/>
      <c r="S134" s="45"/>
      <c r="T134" s="45"/>
      <c r="U134" s="45"/>
      <c r="V134" s="45"/>
      <c r="W134" s="45"/>
      <c r="X134" s="45"/>
      <c r="Y134" s="45"/>
      <c r="Z134" s="45"/>
      <c r="AA134" s="45"/>
      <c r="AB134" s="45"/>
      <c r="AC134" s="45"/>
      <c r="AD134" s="45"/>
      <c r="AE134" s="45"/>
      <c r="AF134" s="45"/>
      <c r="AG134" s="45"/>
      <c r="AH134" s="45"/>
      <c r="AI134" s="45"/>
      <c r="AJ134" s="45"/>
      <c r="AK134" s="45"/>
      <c r="AL134" s="45"/>
      <c r="AN134" s="106">
        <f>ROW()</f>
        <v>134</v>
      </c>
    </row>
    <row r="135" spans="2:40" s="9" customFormat="1" ht="13.9" customHeight="1" x14ac:dyDescent="0.2">
      <c r="B135" s="9" t="s">
        <v>582</v>
      </c>
      <c r="H135" s="26"/>
      <c r="K135"/>
      <c r="M135" s="179"/>
      <c r="N135" s="179"/>
      <c r="O135" s="179"/>
      <c r="P135" s="27">
        <f>SUM(P136:P140)</f>
        <v>-128.2364032780751</v>
      </c>
      <c r="Q135" s="27">
        <f t="shared" ref="Q135:AL135" si="3">SUM(Q136:Q140)</f>
        <v>-169.79735163990478</v>
      </c>
      <c r="R135" s="27">
        <f t="shared" si="3"/>
        <v>-216.15596923557777</v>
      </c>
      <c r="S135" s="27">
        <f t="shared" si="3"/>
        <v>-267.56668278730092</v>
      </c>
      <c r="T135" s="27">
        <f t="shared" si="3"/>
        <v>-324.29065110102044</v>
      </c>
      <c r="U135" s="27">
        <f t="shared" si="3"/>
        <v>-386.59455247682922</v>
      </c>
      <c r="V135" s="27">
        <f t="shared" si="3"/>
        <v>-454.74900210619489</v>
      </c>
      <c r="W135" s="27">
        <f t="shared" si="3"/>
        <v>-529.02655202652579</v>
      </c>
      <c r="X135" s="27">
        <f t="shared" si="3"/>
        <v>-609.69922805516239</v>
      </c>
      <c r="Y135" s="27">
        <f t="shared" si="3"/>
        <v>-697.03556233952406</v>
      </c>
      <c r="Z135" s="27">
        <f t="shared" si="3"/>
        <v>-765.27964095542256</v>
      </c>
      <c r="AA135" s="27">
        <f t="shared" si="3"/>
        <v>-837.95079547644991</v>
      </c>
      <c r="AB135" s="27">
        <f t="shared" si="3"/>
        <v>-915.31042610571512</v>
      </c>
      <c r="AC135" s="27">
        <f t="shared" si="3"/>
        <v>-997.37031412040642</v>
      </c>
      <c r="AD135" s="27">
        <f t="shared" si="3"/>
        <v>-1084.1405856982358</v>
      </c>
      <c r="AE135" s="27">
        <f t="shared" si="3"/>
        <v>-1140.5717655209619</v>
      </c>
      <c r="AF135" s="27">
        <f t="shared" si="3"/>
        <v>-1198.6573696668092</v>
      </c>
      <c r="AG135" s="27">
        <f t="shared" si="3"/>
        <v>-1258.2003977202003</v>
      </c>
      <c r="AH135" s="27">
        <f t="shared" si="3"/>
        <v>-1318.9944227340306</v>
      </c>
      <c r="AI135" s="27">
        <f t="shared" si="3"/>
        <v>-1380.824452904897</v>
      </c>
      <c r="AJ135" s="27">
        <f t="shared" si="3"/>
        <v>-1443.4678638836194</v>
      </c>
      <c r="AK135" s="27">
        <f t="shared" si="3"/>
        <v>-1506.6954001740801</v>
      </c>
      <c r="AL135" s="27">
        <f t="shared" si="3"/>
        <v>-1570.2722446194127</v>
      </c>
      <c r="AM135" s="28"/>
      <c r="AN135" s="106">
        <f>ROW()</f>
        <v>135</v>
      </c>
    </row>
    <row r="136" spans="2:40" ht="13.9" customHeight="1" x14ac:dyDescent="0.2">
      <c r="B136" s="42" t="s">
        <v>4</v>
      </c>
      <c r="M136" s="84"/>
      <c r="P136" s="45">
        <f>P129-P119</f>
        <v>-79.055512019454</v>
      </c>
      <c r="Q136" s="45">
        <f t="shared" ref="Q136:AL136" si="4">Q129-Q119</f>
        <v>-96.681722448793153</v>
      </c>
      <c r="R136" s="45">
        <f t="shared" si="4"/>
        <v>-115.97066368062497</v>
      </c>
      <c r="S136" s="45">
        <f t="shared" si="4"/>
        <v>-137.05199340737681</v>
      </c>
      <c r="T136" s="45">
        <f t="shared" si="4"/>
        <v>-160.06138125080997</v>
      </c>
      <c r="U136" s="45">
        <f t="shared" si="4"/>
        <v>-185.13997412716753</v>
      </c>
      <c r="V136" s="45">
        <f t="shared" si="4"/>
        <v>-212.43366209956093</v>
      </c>
      <c r="W136" s="45">
        <f t="shared" si="4"/>
        <v>-242.09211644477591</v>
      </c>
      <c r="X136" s="45">
        <f t="shared" si="4"/>
        <v>-274.26757151720312</v>
      </c>
      <c r="Y136" s="45">
        <f t="shared" si="4"/>
        <v>-309.11332295850389</v>
      </c>
      <c r="Z136" s="45">
        <f t="shared" si="4"/>
        <v>-337.80707019257488</v>
      </c>
      <c r="AA136" s="45">
        <f t="shared" si="4"/>
        <v>-368.86676457044814</v>
      </c>
      <c r="AB136" s="45">
        <f t="shared" si="4"/>
        <v>-402.43463771022289</v>
      </c>
      <c r="AC136" s="45">
        <f t="shared" si="4"/>
        <v>-438.56114989024582</v>
      </c>
      <c r="AD136" s="45">
        <f t="shared" si="4"/>
        <v>-477.29778524121866</v>
      </c>
      <c r="AE136" s="45">
        <f t="shared" si="4"/>
        <v>-494.7147555519532</v>
      </c>
      <c r="AF136" s="45">
        <f t="shared" si="4"/>
        <v>-512.76402534898398</v>
      </c>
      <c r="AG136" s="45">
        <f t="shared" si="4"/>
        <v>-531.37067396998964</v>
      </c>
      <c r="AH136" s="45">
        <f t="shared" si="4"/>
        <v>-550.45618650886036</v>
      </c>
      <c r="AI136" s="45">
        <f t="shared" si="4"/>
        <v>-569.93884898515671</v>
      </c>
      <c r="AJ136" s="45">
        <f t="shared" si="4"/>
        <v>-589.73420895657637</v>
      </c>
      <c r="AK136" s="45">
        <f t="shared" si="4"/>
        <v>-609.75560888208656</v>
      </c>
      <c r="AL136" s="45">
        <f t="shared" si="4"/>
        <v>-629.91480055412558</v>
      </c>
      <c r="AN136" s="106">
        <f>ROW()</f>
        <v>136</v>
      </c>
    </row>
    <row r="137" spans="2:40" s="42" customFormat="1" ht="13.9" customHeight="1" x14ac:dyDescent="0.2">
      <c r="B137" s="42" t="s">
        <v>450</v>
      </c>
      <c r="H137" s="43"/>
      <c r="M137" s="174"/>
      <c r="N137" s="174"/>
      <c r="O137" s="174"/>
      <c r="P137" s="45">
        <f t="shared" ref="P137:AL137" si="5">P130-P120</f>
        <v>-14.995965195949111</v>
      </c>
      <c r="Q137" s="45">
        <f t="shared" si="5"/>
        <v>-20.250317806087651</v>
      </c>
      <c r="R137" s="45">
        <f t="shared" si="5"/>
        <v>-26.658154441172883</v>
      </c>
      <c r="S137" s="45">
        <f t="shared" si="5"/>
        <v>-34.249750558486767</v>
      </c>
      <c r="T137" s="45">
        <f t="shared" si="5"/>
        <v>-43.054380133186214</v>
      </c>
      <c r="U137" s="45">
        <f t="shared" si="5"/>
        <v>-53.100212156292628</v>
      </c>
      <c r="V137" s="45">
        <f t="shared" si="5"/>
        <v>-64.414194394346396</v>
      </c>
      <c r="W137" s="45">
        <f t="shared" si="5"/>
        <v>-77.021922320024942</v>
      </c>
      <c r="X137" s="45">
        <f t="shared" si="5"/>
        <v>-90.947490993941528</v>
      </c>
      <c r="Y137" s="45">
        <f t="shared" si="5"/>
        <v>-106.21332757899017</v>
      </c>
      <c r="Z137" s="45">
        <f t="shared" si="5"/>
        <v>-119.93549995111152</v>
      </c>
      <c r="AA137" s="45">
        <f t="shared" si="5"/>
        <v>-134.13194479386129</v>
      </c>
      <c r="AB137" s="45">
        <f t="shared" si="5"/>
        <v>-148.83440547477198</v>
      </c>
      <c r="AC137" s="45">
        <f t="shared" si="5"/>
        <v>-164.05185030362145</v>
      </c>
      <c r="AD137" s="45">
        <f t="shared" si="5"/>
        <v>-179.79437092987541</v>
      </c>
      <c r="AE137" s="45">
        <f t="shared" si="5"/>
        <v>-191.7581986280386</v>
      </c>
      <c r="AF137" s="45">
        <f t="shared" si="5"/>
        <v>-203.88696150332748</v>
      </c>
      <c r="AG137" s="45">
        <f t="shared" si="5"/>
        <v>-216.16282121590211</v>
      </c>
      <c r="AH137" s="45">
        <f t="shared" si="5"/>
        <v>-228.56705499762393</v>
      </c>
      <c r="AI137" s="45">
        <f t="shared" si="5"/>
        <v>-241.08004526660761</v>
      </c>
      <c r="AJ137" s="45">
        <f t="shared" si="5"/>
        <v>-253.68127080340923</v>
      </c>
      <c r="AK137" s="45">
        <f t="shared" si="5"/>
        <v>-266.34929979823733</v>
      </c>
      <c r="AL137" s="45">
        <f t="shared" si="5"/>
        <v>-279.06178511693088</v>
      </c>
      <c r="AM137" s="45"/>
      <c r="AN137" s="106">
        <f>ROW()</f>
        <v>137</v>
      </c>
    </row>
    <row r="138" spans="2:40" s="42" customFormat="1" ht="13.9" customHeight="1" x14ac:dyDescent="0.2">
      <c r="B138" s="42" t="s">
        <v>296</v>
      </c>
      <c r="H138" s="43"/>
      <c r="M138" s="174"/>
      <c r="N138" s="174"/>
      <c r="O138" s="174"/>
      <c r="P138" s="45">
        <f t="shared" ref="P138:AL138" si="6">P131-P121</f>
        <v>-9.0302272579112923</v>
      </c>
      <c r="Q138" s="45">
        <f t="shared" si="6"/>
        <v>-14.179246219684217</v>
      </c>
      <c r="R138" s="45">
        <f t="shared" si="6"/>
        <v>-19.849789922948787</v>
      </c>
      <c r="S138" s="45">
        <f t="shared" si="6"/>
        <v>-26.044739750663496</v>
      </c>
      <c r="T138" s="45">
        <f t="shared" si="6"/>
        <v>-32.765978109543994</v>
      </c>
      <c r="U138" s="45">
        <f t="shared" si="6"/>
        <v>-40.014359463110338</v>
      </c>
      <c r="V138" s="45">
        <f t="shared" si="6"/>
        <v>-47.789679772140516</v>
      </c>
      <c r="W138" s="45">
        <f t="shared" si="6"/>
        <v>-56.090643901392752</v>
      </c>
      <c r="X138" s="45">
        <f t="shared" si="6"/>
        <v>-64.914830556821414</v>
      </c>
      <c r="Y138" s="45">
        <f t="shared" si="6"/>
        <v>-74.258654337398468</v>
      </c>
      <c r="Z138" s="45">
        <f t="shared" si="6"/>
        <v>-80.312755746964854</v>
      </c>
      <c r="AA138" s="45">
        <f t="shared" si="6"/>
        <v>-86.543061660475757</v>
      </c>
      <c r="AB138" s="45">
        <f t="shared" si="6"/>
        <v>-92.960755331956364</v>
      </c>
      <c r="AC138" s="45">
        <f t="shared" si="6"/>
        <v>-99.568903152715677</v>
      </c>
      <c r="AD138" s="45">
        <f t="shared" si="6"/>
        <v>-106.37101519480956</v>
      </c>
      <c r="AE138" s="45">
        <f t="shared" si="6"/>
        <v>-111.74314720987792</v>
      </c>
      <c r="AF138" s="45">
        <f t="shared" si="6"/>
        <v>-117.17624090508315</v>
      </c>
      <c r="AG138" s="45">
        <f t="shared" si="6"/>
        <v>-122.66375636043057</v>
      </c>
      <c r="AH138" s="45">
        <f t="shared" si="6"/>
        <v>-128.19888754331157</v>
      </c>
      <c r="AI138" s="45">
        <f t="shared" si="6"/>
        <v>-133.77456270195574</v>
      </c>
      <c r="AJ138" s="45">
        <f t="shared" si="6"/>
        <v>-139.38344548978762</v>
      </c>
      <c r="AK138" s="45">
        <f t="shared" si="6"/>
        <v>-145.01793693592714</v>
      </c>
      <c r="AL138" s="45">
        <f t="shared" si="6"/>
        <v>-150.67017839118591</v>
      </c>
      <c r="AM138" s="45"/>
      <c r="AN138" s="106">
        <f>ROW()</f>
        <v>138</v>
      </c>
    </row>
    <row r="139" spans="2:40" s="42" customFormat="1" ht="13.9" customHeight="1" x14ac:dyDescent="0.2">
      <c r="B139" s="42" t="s">
        <v>31</v>
      </c>
      <c r="H139" s="43"/>
      <c r="M139" s="174"/>
      <c r="N139" s="174"/>
      <c r="O139" s="174"/>
      <c r="P139" s="45">
        <f t="shared" ref="P139:AL139" si="7">P132-P122</f>
        <v>-2.6006207448407963</v>
      </c>
      <c r="Q139" s="45">
        <f t="shared" si="7"/>
        <v>-5.1441335836951794</v>
      </c>
      <c r="R139" s="45">
        <f t="shared" si="7"/>
        <v>-8.0160667856719385</v>
      </c>
      <c r="S139" s="45">
        <f t="shared" si="7"/>
        <v>-11.216566271860131</v>
      </c>
      <c r="T139" s="45">
        <f t="shared" si="7"/>
        <v>-14.744575888828336</v>
      </c>
      <c r="U139" s="45">
        <f t="shared" si="7"/>
        <v>-18.59781162819678</v>
      </c>
      <c r="V139" s="45">
        <f t="shared" si="7"/>
        <v>-22.772740165006354</v>
      </c>
      <c r="W139" s="45">
        <f t="shared" si="7"/>
        <v>-27.264561943568282</v>
      </c>
      <c r="X139" s="45">
        <f t="shared" si="7"/>
        <v>-32.067199072729863</v>
      </c>
      <c r="Y139" s="45">
        <f t="shared" si="7"/>
        <v>-37.173288333951433</v>
      </c>
      <c r="Z139" s="45">
        <f t="shared" si="7"/>
        <v>-40.629507838372035</v>
      </c>
      <c r="AA139" s="45">
        <f t="shared" si="7"/>
        <v>-44.150990693428923</v>
      </c>
      <c r="AB139" s="45">
        <f t="shared" si="7"/>
        <v>-47.740482868422731</v>
      </c>
      <c r="AC139" s="45">
        <f t="shared" si="7"/>
        <v>-51.393009579416002</v>
      </c>
      <c r="AD139" s="45">
        <f t="shared" si="7"/>
        <v>-55.103505468076236</v>
      </c>
      <c r="AE139" s="45">
        <f t="shared" si="7"/>
        <v>-58.728974442360453</v>
      </c>
      <c r="AF139" s="45">
        <f t="shared" si="7"/>
        <v>-62.391177320920178</v>
      </c>
      <c r="AG139" s="45">
        <f t="shared" si="7"/>
        <v>-66.083988850238313</v>
      </c>
      <c r="AH139" s="45">
        <f t="shared" si="7"/>
        <v>-69.801171243326706</v>
      </c>
      <c r="AI139" s="45">
        <f t="shared" si="7"/>
        <v>-73.536381934298703</v>
      </c>
      <c r="AJ139" s="45">
        <f t="shared" si="7"/>
        <v>-77.28318057400665</v>
      </c>
      <c r="AK139" s="45">
        <f t="shared" si="7"/>
        <v>-81.035035123053973</v>
      </c>
      <c r="AL139" s="45">
        <f t="shared" si="7"/>
        <v>-84.785326888585047</v>
      </c>
      <c r="AM139" s="45"/>
      <c r="AN139" s="106">
        <f>ROW()</f>
        <v>139</v>
      </c>
    </row>
    <row r="140" spans="2:40" s="42" customFormat="1" ht="13.9" customHeight="1" x14ac:dyDescent="0.2">
      <c r="B140" s="42" t="s">
        <v>5</v>
      </c>
      <c r="H140" s="43"/>
      <c r="M140" s="174"/>
      <c r="N140" s="174"/>
      <c r="O140" s="174"/>
      <c r="P140" s="45">
        <f t="shared" ref="P140:AL140" si="8">P133-P123</f>
        <v>-22.554078059919902</v>
      </c>
      <c r="Q140" s="45">
        <f t="shared" si="8"/>
        <v>-33.541931581644576</v>
      </c>
      <c r="R140" s="45">
        <f t="shared" si="8"/>
        <v>-45.661294405159197</v>
      </c>
      <c r="S140" s="45">
        <f t="shared" si="8"/>
        <v>-59.003632798913713</v>
      </c>
      <c r="T140" s="45">
        <f t="shared" si="8"/>
        <v>-73.664335718651955</v>
      </c>
      <c r="U140" s="45">
        <f t="shared" si="8"/>
        <v>-89.742195102061942</v>
      </c>
      <c r="V140" s="45">
        <f t="shared" si="8"/>
        <v>-107.33872567514072</v>
      </c>
      <c r="W140" s="45">
        <f t="shared" si="8"/>
        <v>-126.55730741676393</v>
      </c>
      <c r="X140" s="45">
        <f t="shared" si="8"/>
        <v>-147.50213591446641</v>
      </c>
      <c r="Y140" s="45">
        <f t="shared" si="8"/>
        <v>-170.27696913068007</v>
      </c>
      <c r="Z140" s="45">
        <f t="shared" si="8"/>
        <v>-186.59480722639933</v>
      </c>
      <c r="AA140" s="45">
        <f t="shared" si="8"/>
        <v>-204.2580337582358</v>
      </c>
      <c r="AB140" s="45">
        <f t="shared" si="8"/>
        <v>-223.34014472034119</v>
      </c>
      <c r="AC140" s="45">
        <f t="shared" si="8"/>
        <v>-243.79540119440753</v>
      </c>
      <c r="AD140" s="45">
        <f t="shared" si="8"/>
        <v>-265.57390886425583</v>
      </c>
      <c r="AE140" s="45">
        <f t="shared" si="8"/>
        <v>-283.62668968873163</v>
      </c>
      <c r="AF140" s="45">
        <f t="shared" si="8"/>
        <v>-302.4389645884944</v>
      </c>
      <c r="AG140" s="45">
        <f t="shared" si="8"/>
        <v>-321.91915732363964</v>
      </c>
      <c r="AH140" s="45">
        <f t="shared" si="8"/>
        <v>-341.97112244090795</v>
      </c>
      <c r="AI140" s="45">
        <f t="shared" si="8"/>
        <v>-362.49461401687813</v>
      </c>
      <c r="AJ140" s="45">
        <f t="shared" si="8"/>
        <v>-383.38575805983965</v>
      </c>
      <c r="AK140" s="45">
        <f t="shared" si="8"/>
        <v>-404.53751943477505</v>
      </c>
      <c r="AL140" s="45">
        <f t="shared" si="8"/>
        <v>-425.84015366858534</v>
      </c>
      <c r="AM140" s="45"/>
      <c r="AN140" s="106">
        <f>ROW()</f>
        <v>140</v>
      </c>
    </row>
    <row r="141" spans="2:40" s="42" customFormat="1" ht="13.9" customHeight="1" x14ac:dyDescent="0.2">
      <c r="H141" s="43"/>
      <c r="M141" s="174"/>
      <c r="N141" s="174"/>
      <c r="O141" s="174"/>
      <c r="P141" s="44"/>
      <c r="Q141" s="44"/>
      <c r="R141" s="44"/>
      <c r="S141" s="44"/>
      <c r="T141" s="44"/>
      <c r="U141" s="44"/>
      <c r="V141" s="44"/>
      <c r="W141" s="44"/>
      <c r="X141" s="44"/>
      <c r="Y141" s="44"/>
      <c r="Z141" s="44"/>
      <c r="AA141" s="44"/>
      <c r="AB141" s="44"/>
      <c r="AC141" s="44"/>
      <c r="AD141" s="44"/>
      <c r="AE141" s="44"/>
      <c r="AF141" s="44"/>
      <c r="AG141" s="44"/>
      <c r="AH141" s="44"/>
      <c r="AI141" s="44"/>
      <c r="AJ141" s="44"/>
      <c r="AK141" s="44"/>
      <c r="AL141" s="44"/>
      <c r="AN141" s="106">
        <f>ROW()</f>
        <v>141</v>
      </c>
    </row>
    <row r="142" spans="2:40" s="42" customFormat="1" ht="13.9" customHeight="1" x14ac:dyDescent="0.2">
      <c r="B142" s="9" t="s">
        <v>583</v>
      </c>
      <c r="H142" s="43"/>
      <c r="M142" s="174"/>
      <c r="N142" s="174"/>
      <c r="O142" s="174"/>
      <c r="P142" s="35">
        <f t="shared" ref="P142:AK142" si="9">P135/P118</f>
        <v>-2.3048095338789966E-2</v>
      </c>
      <c r="Q142" s="35">
        <f t="shared" si="9"/>
        <v>-3.0283596806559461E-2</v>
      </c>
      <c r="R142" s="35">
        <f t="shared" si="9"/>
        <v>-3.8255674189910917E-2</v>
      </c>
      <c r="S142" s="35">
        <f t="shared" si="9"/>
        <v>-4.6990708968424957E-2</v>
      </c>
      <c r="T142" s="35">
        <f t="shared" si="9"/>
        <v>-5.6515162367307491E-2</v>
      </c>
      <c r="U142" s="35">
        <f t="shared" si="9"/>
        <v>-6.6855342772260934E-2</v>
      </c>
      <c r="V142" s="35">
        <f t="shared" si="9"/>
        <v>-7.8037119992709167E-2</v>
      </c>
      <c r="W142" s="35">
        <f t="shared" si="9"/>
        <v>-9.0085581448333188E-2</v>
      </c>
      <c r="X142" s="35">
        <f t="shared" si="9"/>
        <v>-0.10302462606662757</v>
      </c>
      <c r="Y142" s="35">
        <f t="shared" si="9"/>
        <v>-0.11687649275196246</v>
      </c>
      <c r="Z142" s="35">
        <f t="shared" si="9"/>
        <v>-0.12733226767982736</v>
      </c>
      <c r="AA142" s="35">
        <f t="shared" si="9"/>
        <v>-0.13835095327447658</v>
      </c>
      <c r="AB142" s="35">
        <f t="shared" si="9"/>
        <v>-0.14996040913594183</v>
      </c>
      <c r="AC142" s="35">
        <f t="shared" si="9"/>
        <v>-0.16214682810833767</v>
      </c>
      <c r="AD142" s="35">
        <f t="shared" si="9"/>
        <v>-0.17489632255248413</v>
      </c>
      <c r="AE142" s="35">
        <f t="shared" si="9"/>
        <v>-0.18258285280260295</v>
      </c>
      <c r="AF142" s="35">
        <f t="shared" si="9"/>
        <v>-0.19040308012997209</v>
      </c>
      <c r="AG142" s="35">
        <f t="shared" si="9"/>
        <v>-0.19832136624247299</v>
      </c>
      <c r="AH142" s="35">
        <f t="shared" si="9"/>
        <v>-0.20630163196106502</v>
      </c>
      <c r="AI142" s="35">
        <f t="shared" si="9"/>
        <v>-0.21430752890249427</v>
      </c>
      <c r="AJ142" s="35">
        <f t="shared" si="9"/>
        <v>-0.22230261484894934</v>
      </c>
      <c r="AK142" s="35">
        <f t="shared" si="9"/>
        <v>-0.23025053216142508</v>
      </c>
      <c r="AL142" s="35">
        <f>AL135/AL118</f>
        <v>-0.23811518870510656</v>
      </c>
      <c r="AM142" s="45"/>
      <c r="AN142" s="106">
        <f>ROW()</f>
        <v>142</v>
      </c>
    </row>
    <row r="143" spans="2:40" s="42" customFormat="1" ht="13.9" customHeight="1" x14ac:dyDescent="0.2">
      <c r="B143" s="9"/>
      <c r="H143" s="43"/>
      <c r="M143" s="174"/>
      <c r="N143" s="174"/>
      <c r="O143" s="174"/>
      <c r="P143" s="35"/>
      <c r="Q143" s="35"/>
      <c r="R143" s="35"/>
      <c r="S143" s="35"/>
      <c r="T143" s="35"/>
      <c r="U143" s="35"/>
      <c r="V143" s="35"/>
      <c r="W143" s="35"/>
      <c r="X143" s="35"/>
      <c r="Y143" s="35"/>
      <c r="Z143" s="35"/>
      <c r="AA143" s="35"/>
      <c r="AB143" s="35"/>
      <c r="AC143" s="45"/>
      <c r="AD143" s="45"/>
      <c r="AE143" s="45"/>
      <c r="AF143" s="45"/>
      <c r="AG143" s="45"/>
      <c r="AH143" s="45"/>
      <c r="AI143" s="45"/>
      <c r="AJ143" s="45"/>
      <c r="AK143" s="45"/>
      <c r="AL143" s="45"/>
      <c r="AM143" s="45"/>
      <c r="AN143" s="106">
        <f>ROW()</f>
        <v>143</v>
      </c>
    </row>
    <row r="144" spans="2:40" s="42" customFormat="1" ht="13.9" customHeight="1" x14ac:dyDescent="0.2">
      <c r="B144" s="9" t="s">
        <v>594</v>
      </c>
      <c r="H144" s="43"/>
      <c r="M144" s="174"/>
      <c r="N144" s="174"/>
      <c r="O144" s="174"/>
      <c r="P144" s="35">
        <f>P142^(1/(P115-$P115+1))</f>
        <v>-2.3048095338789966E-2</v>
      </c>
      <c r="Q144" s="35">
        <f>1-(1-Q142)^(1/(Q114-$P115+1))</f>
        <v>1.4835345474195627E-5</v>
      </c>
      <c r="R144" s="35">
        <f t="shared" ref="R144:AL144" si="10">1-(1-R142)^(1/(R115-$P115+1))</f>
        <v>-1.2592650913664238E-2</v>
      </c>
      <c r="S144" s="35">
        <f t="shared" si="10"/>
        <v>-1.1546162724779485E-2</v>
      </c>
      <c r="T144" s="35">
        <f t="shared" si="10"/>
        <v>-1.1055851060368882E-2</v>
      </c>
      <c r="U144" s="35">
        <f t="shared" si="10"/>
        <v>-1.0844275720119034E-2</v>
      </c>
      <c r="V144" s="35">
        <f t="shared" si="10"/>
        <v>-1.0792380084211572E-2</v>
      </c>
      <c r="W144" s="35">
        <f t="shared" si="10"/>
        <v>-1.0840361543632104E-2</v>
      </c>
      <c r="X144" s="35">
        <f t="shared" si="10"/>
        <v>-1.0954686436346783E-2</v>
      </c>
      <c r="Y144" s="35">
        <f t="shared" si="10"/>
        <v>-1.1114911036419928E-2</v>
      </c>
      <c r="Z144" s="35">
        <f t="shared" si="10"/>
        <v>-1.0955395305474624E-2</v>
      </c>
      <c r="AA144" s="35">
        <f t="shared" si="10"/>
        <v>-1.0856903287951303E-2</v>
      </c>
      <c r="AB144" s="35">
        <f t="shared" si="10"/>
        <v>-1.0806240545250256E-2</v>
      </c>
      <c r="AC144" s="35">
        <f t="shared" si="10"/>
        <v>-1.0791311279765514E-2</v>
      </c>
      <c r="AD144" s="35">
        <f t="shared" si="10"/>
        <v>-1.0803265536120099E-2</v>
      </c>
      <c r="AE144" s="35">
        <f t="shared" si="10"/>
        <v>-1.0536427851504104E-2</v>
      </c>
      <c r="AF144" s="35">
        <f t="shared" si="10"/>
        <v>-1.0305205607443968E-2</v>
      </c>
      <c r="AG144" s="35">
        <f t="shared" si="10"/>
        <v>-1.0101889486703097E-2</v>
      </c>
      <c r="AH144" s="35">
        <f t="shared" si="10"/>
        <v>-9.9204199324403053E-3</v>
      </c>
      <c r="AI144" s="35">
        <f t="shared" si="10"/>
        <v>-9.7559812733754026E-3</v>
      </c>
      <c r="AJ144" s="35">
        <f t="shared" si="10"/>
        <v>-9.6047114864810101E-3</v>
      </c>
      <c r="AK144" s="35">
        <f t="shared" si="10"/>
        <v>-9.463490733135238E-3</v>
      </c>
      <c r="AL144" s="35">
        <f t="shared" si="10"/>
        <v>-9.3297846665996165E-3</v>
      </c>
      <c r="AM144" s="45"/>
      <c r="AN144" s="106">
        <f>ROW()</f>
        <v>144</v>
      </c>
    </row>
    <row r="145" spans="2:40" s="42" customFormat="1" ht="13.9" customHeight="1" x14ac:dyDescent="0.2">
      <c r="B145" s="9"/>
      <c r="H145" s="43"/>
      <c r="M145" s="174"/>
      <c r="N145" s="174"/>
      <c r="O145" s="174"/>
      <c r="P145" s="35"/>
      <c r="Q145" s="35"/>
      <c r="R145" s="35"/>
      <c r="S145" s="35"/>
      <c r="T145" s="35"/>
      <c r="U145" s="35"/>
      <c r="V145" s="35"/>
      <c r="W145" s="35"/>
      <c r="X145" s="35"/>
      <c r="Y145" s="35"/>
      <c r="Z145" s="35"/>
      <c r="AA145" s="35"/>
      <c r="AB145" s="35"/>
      <c r="AC145" s="35"/>
      <c r="AD145" s="35"/>
      <c r="AE145" s="35"/>
      <c r="AF145" s="35"/>
      <c r="AG145" s="35"/>
      <c r="AH145" s="35"/>
      <c r="AI145" s="35"/>
      <c r="AJ145" s="35"/>
      <c r="AK145" s="35"/>
      <c r="AL145" s="35"/>
      <c r="AM145" s="45"/>
      <c r="AN145" s="106">
        <f>ROW()</f>
        <v>145</v>
      </c>
    </row>
    <row r="146" spans="2:40" s="42" customFormat="1" ht="13.9" customHeight="1" x14ac:dyDescent="0.2">
      <c r="B146" s="9" t="s">
        <v>595</v>
      </c>
      <c r="H146" s="43"/>
      <c r="K146" s="35">
        <f t="shared" ref="K146:AL146" si="11">K128/$I$118-1</f>
        <v>3.6500707840831925E-3</v>
      </c>
      <c r="L146" s="35">
        <f t="shared" si="11"/>
        <v>-2.7853110235549039E-2</v>
      </c>
      <c r="M146" s="35">
        <f t="shared" si="11"/>
        <v>-9.0535400569683788E-2</v>
      </c>
      <c r="N146" s="35">
        <f t="shared" si="11"/>
        <v>-5.48165757066299E-2</v>
      </c>
      <c r="O146" s="35">
        <f t="shared" si="11"/>
        <v>-5.4851748348154761E-2</v>
      </c>
      <c r="P146" s="35">
        <f t="shared" si="11"/>
        <v>-7.287779223727886E-2</v>
      </c>
      <c r="Q146" s="35">
        <f t="shared" si="11"/>
        <v>-7.2624299752108601E-2</v>
      </c>
      <c r="R146" s="35">
        <f t="shared" si="11"/>
        <v>-7.3130653975151505E-2</v>
      </c>
      <c r="S146" s="35">
        <f t="shared" si="11"/>
        <v>-7.4439770951869599E-2</v>
      </c>
      <c r="T146" s="35">
        <f t="shared" si="11"/>
        <v>-7.6595710914046822E-2</v>
      </c>
      <c r="U146" s="35">
        <f t="shared" si="11"/>
        <v>-7.9643471420126066E-2</v>
      </c>
      <c r="V146" s="35">
        <f t="shared" si="11"/>
        <v>-8.362871738427935E-2</v>
      </c>
      <c r="W146" s="35">
        <f t="shared" si="11"/>
        <v>-8.8597439904444464E-2</v>
      </c>
      <c r="X146" s="35">
        <f t="shared" si="11"/>
        <v>-9.4595536115370304E-2</v>
      </c>
      <c r="Y146" s="35">
        <f t="shared" si="11"/>
        <v>-0.10166830301158258</v>
      </c>
      <c r="Z146" s="35">
        <f t="shared" si="11"/>
        <v>-0.10542219824509336</v>
      </c>
      <c r="AA146" s="35">
        <f t="shared" si="11"/>
        <v>-0.10986826084723234</v>
      </c>
      <c r="AB146" s="35">
        <f t="shared" si="11"/>
        <v>-0.11505055839820333</v>
      </c>
      <c r="AC146" s="35">
        <f t="shared" si="11"/>
        <v>-0.1209705780658622</v>
      </c>
      <c r="AD146" s="35">
        <f t="shared" si="11"/>
        <v>-0.12762952028309593</v>
      </c>
      <c r="AE146" s="35">
        <f t="shared" si="11"/>
        <v>-0.12904867320008584</v>
      </c>
      <c r="AF146" s="35">
        <f t="shared" si="11"/>
        <v>-0.13068444494872089</v>
      </c>
      <c r="AG146" s="35">
        <f t="shared" si="11"/>
        <v>-0.13250269407263693</v>
      </c>
      <c r="AH146" s="35">
        <f t="shared" si="11"/>
        <v>-0.13446766669632104</v>
      </c>
      <c r="AI146" s="35">
        <f t="shared" si="11"/>
        <v>-0.136542143455743</v>
      </c>
      <c r="AJ146" s="35">
        <f t="shared" si="11"/>
        <v>-0.13868759847646528</v>
      </c>
      <c r="AK146" s="35">
        <f t="shared" si="11"/>
        <v>-0.14086437013537734</v>
      </c>
      <c r="AL146" s="35">
        <f t="shared" si="11"/>
        <v>-0.14303184343530972</v>
      </c>
      <c r="AM146" s="45"/>
      <c r="AN146" s="106">
        <f>ROW()</f>
        <v>146</v>
      </c>
    </row>
    <row r="147" spans="2:40" s="42" customFormat="1" ht="13.9" customHeight="1" x14ac:dyDescent="0.2">
      <c r="B147" s="9"/>
      <c r="H147" s="43"/>
      <c r="M147" s="174"/>
      <c r="N147" s="174"/>
      <c r="O147" s="174"/>
      <c r="P147" s="35"/>
      <c r="Q147" s="35"/>
      <c r="R147" s="35"/>
      <c r="S147" s="35"/>
      <c r="T147" s="35"/>
      <c r="U147" s="35"/>
      <c r="V147" s="35"/>
      <c r="W147" s="35"/>
      <c r="X147" s="35"/>
      <c r="Y147" s="35"/>
      <c r="Z147" s="35"/>
      <c r="AA147" s="35"/>
      <c r="AB147" s="35"/>
      <c r="AC147" s="35"/>
      <c r="AD147" s="45"/>
      <c r="AE147" s="45"/>
      <c r="AF147" s="45"/>
      <c r="AG147" s="45"/>
      <c r="AH147" s="45"/>
      <c r="AI147" s="45"/>
      <c r="AJ147" s="45"/>
      <c r="AK147" s="45"/>
      <c r="AL147" s="45"/>
      <c r="AM147" s="45"/>
      <c r="AN147" s="106">
        <f>ROW()</f>
        <v>147</v>
      </c>
    </row>
    <row r="148" spans="2:40" s="42" customFormat="1" ht="13.9" customHeight="1" x14ac:dyDescent="0.2">
      <c r="B148" s="9" t="s">
        <v>654</v>
      </c>
      <c r="H148" s="43"/>
      <c r="I148" s="341">
        <f>I115</f>
        <v>2005</v>
      </c>
      <c r="J148" s="341">
        <v>2006</v>
      </c>
      <c r="K148" s="341">
        <f t="shared" ref="K148:Q148" si="12">K115</f>
        <v>2007</v>
      </c>
      <c r="L148" s="341">
        <f t="shared" si="12"/>
        <v>2008</v>
      </c>
      <c r="M148" s="341">
        <f t="shared" si="12"/>
        <v>2009</v>
      </c>
      <c r="N148" s="341">
        <f t="shared" si="12"/>
        <v>2010</v>
      </c>
      <c r="O148" s="341">
        <f t="shared" si="12"/>
        <v>2011</v>
      </c>
      <c r="P148" s="341">
        <f t="shared" si="12"/>
        <v>2012</v>
      </c>
      <c r="Q148" s="341">
        <f t="shared" si="12"/>
        <v>2013</v>
      </c>
      <c r="R148" s="341">
        <f t="shared" ref="R148:AL148" si="13">R115</f>
        <v>2014</v>
      </c>
      <c r="S148" s="341">
        <f t="shared" si="13"/>
        <v>2015</v>
      </c>
      <c r="T148" s="341">
        <f t="shared" si="13"/>
        <v>2016</v>
      </c>
      <c r="U148" s="341">
        <f t="shared" si="13"/>
        <v>2017</v>
      </c>
      <c r="V148" s="341">
        <f t="shared" si="13"/>
        <v>2018</v>
      </c>
      <c r="W148" s="341">
        <f t="shared" si="13"/>
        <v>2019</v>
      </c>
      <c r="X148" s="341">
        <f t="shared" si="13"/>
        <v>2020</v>
      </c>
      <c r="Y148" s="341">
        <f t="shared" si="13"/>
        <v>2021</v>
      </c>
      <c r="Z148" s="341">
        <f t="shared" si="13"/>
        <v>2022</v>
      </c>
      <c r="AA148" s="341">
        <f t="shared" si="13"/>
        <v>2023</v>
      </c>
      <c r="AB148" s="341">
        <f t="shared" si="13"/>
        <v>2024</v>
      </c>
      <c r="AC148" s="341">
        <f t="shared" si="13"/>
        <v>2025</v>
      </c>
      <c r="AD148" s="341">
        <f t="shared" si="13"/>
        <v>2026</v>
      </c>
      <c r="AE148" s="341">
        <f t="shared" si="13"/>
        <v>2027</v>
      </c>
      <c r="AF148" s="341">
        <f t="shared" si="13"/>
        <v>2028</v>
      </c>
      <c r="AG148" s="341">
        <f t="shared" si="13"/>
        <v>2029</v>
      </c>
      <c r="AH148" s="341">
        <f t="shared" si="13"/>
        <v>2030</v>
      </c>
      <c r="AI148" s="341">
        <f t="shared" si="13"/>
        <v>2031</v>
      </c>
      <c r="AJ148" s="341">
        <f t="shared" si="13"/>
        <v>2032</v>
      </c>
      <c r="AK148" s="341">
        <f t="shared" si="13"/>
        <v>2033</v>
      </c>
      <c r="AL148" s="341">
        <f t="shared" si="13"/>
        <v>2034</v>
      </c>
      <c r="AM148" s="45"/>
      <c r="AN148" s="106">
        <f>ROW()</f>
        <v>148</v>
      </c>
    </row>
    <row r="149" spans="2:40" s="42" customFormat="1" ht="13.9" customHeight="1" x14ac:dyDescent="0.2">
      <c r="B149" s="42" t="s">
        <v>4</v>
      </c>
      <c r="H149" s="43"/>
      <c r="M149" s="174"/>
      <c r="N149" s="174"/>
      <c r="O149" s="174"/>
      <c r="P149" s="46">
        <f t="shared" ref="P149:AL149" si="14">P136/P$135</f>
        <v>0.61648260555176004</v>
      </c>
      <c r="Q149" s="46">
        <f t="shared" si="14"/>
        <v>0.5693947609608746</v>
      </c>
      <c r="R149" s="46">
        <f t="shared" si="14"/>
        <v>0.53651381495846751</v>
      </c>
      <c r="S149" s="46">
        <f t="shared" si="14"/>
        <v>0.51221621458873756</v>
      </c>
      <c r="T149" s="46">
        <f t="shared" si="14"/>
        <v>0.49357383787468151</v>
      </c>
      <c r="U149" s="46">
        <f t="shared" si="14"/>
        <v>0.4788995937501318</v>
      </c>
      <c r="V149" s="46">
        <f t="shared" si="14"/>
        <v>0.46714486698302315</v>
      </c>
      <c r="W149" s="46">
        <f t="shared" si="14"/>
        <v>0.45761808271702253</v>
      </c>
      <c r="X149" s="46">
        <f t="shared" si="14"/>
        <v>0.4498407721329587</v>
      </c>
      <c r="Y149" s="46">
        <f t="shared" si="14"/>
        <v>0.44346851101972279</v>
      </c>
      <c r="Z149" s="46">
        <f t="shared" si="14"/>
        <v>0.44141651249317909</v>
      </c>
      <c r="AA149" s="46">
        <f t="shared" si="14"/>
        <v>0.44020098383069667</v>
      </c>
      <c r="AB149" s="46">
        <f t="shared" si="14"/>
        <v>0.43967011216339308</v>
      </c>
      <c r="AC149" s="46">
        <f t="shared" si="14"/>
        <v>0.43971746870871975</v>
      </c>
      <c r="AD149" s="46">
        <f t="shared" si="14"/>
        <v>0.44025451268740873</v>
      </c>
      <c r="AE149" s="46">
        <f t="shared" si="14"/>
        <v>0.43374276876474294</v>
      </c>
      <c r="AF149" s="46">
        <f t="shared" si="14"/>
        <v>0.42778198201168777</v>
      </c>
      <c r="AG149" s="46">
        <f t="shared" si="14"/>
        <v>0.42232594659229816</v>
      </c>
      <c r="AH149" s="46">
        <f t="shared" si="14"/>
        <v>0.41733018504192521</v>
      </c>
      <c r="AI149" s="46">
        <f t="shared" si="14"/>
        <v>0.4127525753082899</v>
      </c>
      <c r="AJ149" s="46">
        <f t="shared" si="14"/>
        <v>0.40855375011253042</v>
      </c>
      <c r="AK149" s="46">
        <f t="shared" si="14"/>
        <v>0.40469733219576887</v>
      </c>
      <c r="AL149" s="46">
        <f t="shared" si="14"/>
        <v>0.40115005707612067</v>
      </c>
      <c r="AM149" s="45"/>
      <c r="AN149" s="106">
        <f>ROW()</f>
        <v>149</v>
      </c>
    </row>
    <row r="150" spans="2:40" s="42" customFormat="1" ht="13.9" customHeight="1" x14ac:dyDescent="0.2">
      <c r="B150" s="42" t="s">
        <v>450</v>
      </c>
      <c r="H150" s="43"/>
      <c r="M150" s="174"/>
      <c r="N150" s="174"/>
      <c r="O150" s="174"/>
      <c r="P150" s="46">
        <f t="shared" ref="P150:AL151" si="15">P137/P$135</f>
        <v>0.11694000153319185</v>
      </c>
      <c r="Q150" s="46">
        <f t="shared" si="15"/>
        <v>0.11926168229663095</v>
      </c>
      <c r="R150" s="46">
        <f t="shared" si="15"/>
        <v>0.12332832877781631</v>
      </c>
      <c r="S150" s="46">
        <f t="shared" si="15"/>
        <v>0.12800454152848775</v>
      </c>
      <c r="T150" s="46">
        <f t="shared" si="15"/>
        <v>0.13276478981743528</v>
      </c>
      <c r="U150" s="46">
        <f t="shared" si="15"/>
        <v>0.13735375166590125</v>
      </c>
      <c r="V150" s="46">
        <f t="shared" si="15"/>
        <v>0.14164779712766498</v>
      </c>
      <c r="W150" s="46">
        <f t="shared" si="15"/>
        <v>0.14559178934399308</v>
      </c>
      <c r="X150" s="46">
        <f t="shared" si="15"/>
        <v>0.14916779751230566</v>
      </c>
      <c r="Y150" s="46">
        <f t="shared" si="15"/>
        <v>0.15237863506202853</v>
      </c>
      <c r="Z150" s="46">
        <f t="shared" si="15"/>
        <v>0.15672114287710126</v>
      </c>
      <c r="AA150" s="46">
        <f t="shared" si="15"/>
        <v>0.16007138547746744</v>
      </c>
      <c r="AB150" s="46">
        <f t="shared" si="15"/>
        <v>0.16260538635837862</v>
      </c>
      <c r="AC150" s="46">
        <f t="shared" si="15"/>
        <v>0.16448439258822423</v>
      </c>
      <c r="AD150" s="46">
        <f t="shared" si="15"/>
        <v>0.16584045768757902</v>
      </c>
      <c r="AE150" s="46">
        <f t="shared" si="15"/>
        <v>0.16812462347816587</v>
      </c>
      <c r="AF150" s="46">
        <f t="shared" si="15"/>
        <v>0.17009611475546338</v>
      </c>
      <c r="AG150" s="46">
        <f t="shared" si="15"/>
        <v>0.17180317349094704</v>
      </c>
      <c r="AH150" s="46">
        <f t="shared" si="15"/>
        <v>0.17328887147517033</v>
      </c>
      <c r="AI150" s="46">
        <f t="shared" si="15"/>
        <v>0.17459137891093804</v>
      </c>
      <c r="AJ150" s="46">
        <f t="shared" si="15"/>
        <v>0.1757443148896195</v>
      </c>
      <c r="AK150" s="46">
        <f t="shared" si="15"/>
        <v>0.176777137414413</v>
      </c>
      <c r="AL150" s="46">
        <f t="shared" si="15"/>
        <v>0.17771554332259573</v>
      </c>
      <c r="AM150" s="45"/>
      <c r="AN150" s="106">
        <f>ROW()</f>
        <v>150</v>
      </c>
    </row>
    <row r="151" spans="2:40" s="42" customFormat="1" ht="13.9" customHeight="1" x14ac:dyDescent="0.2">
      <c r="B151" s="42" t="s">
        <v>296</v>
      </c>
      <c r="H151" s="43"/>
      <c r="M151" s="174"/>
      <c r="N151" s="174"/>
      <c r="O151" s="174"/>
      <c r="P151" s="46">
        <f t="shared" si="15"/>
        <v>7.0418594307652516E-2</v>
      </c>
      <c r="Q151" s="46">
        <f t="shared" si="15"/>
        <v>8.3506875005651696E-2</v>
      </c>
      <c r="R151" s="46">
        <f t="shared" si="15"/>
        <v>9.1830866356114718E-2</v>
      </c>
      <c r="S151" s="46">
        <f t="shared" si="15"/>
        <v>9.7339248217863744E-2</v>
      </c>
      <c r="T151" s="46">
        <f t="shared" si="15"/>
        <v>0.10103892294858971</v>
      </c>
      <c r="U151" s="46">
        <f t="shared" si="15"/>
        <v>0.10350471626345181</v>
      </c>
      <c r="V151" s="46">
        <f t="shared" si="15"/>
        <v>0.10509023560425641</v>
      </c>
      <c r="W151" s="46">
        <f t="shared" si="15"/>
        <v>0.10602614119561304</v>
      </c>
      <c r="X151" s="46">
        <f t="shared" si="15"/>
        <v>0.10647025216661134</v>
      </c>
      <c r="Y151" s="46">
        <f t="shared" si="15"/>
        <v>0.10653495796994543</v>
      </c>
      <c r="Z151" s="46">
        <f t="shared" si="15"/>
        <v>0.10494563222235656</v>
      </c>
      <c r="AA151" s="46">
        <f t="shared" si="15"/>
        <v>0.10327940748748653</v>
      </c>
      <c r="AB151" s="46">
        <f t="shared" si="15"/>
        <v>0.10156199763556471</v>
      </c>
      <c r="AC151" s="46">
        <f t="shared" si="15"/>
        <v>9.9831428450451482E-2</v>
      </c>
      <c r="AD151" s="46">
        <f t="shared" si="15"/>
        <v>9.8115518040773092E-2</v>
      </c>
      <c r="AE151" s="46">
        <f t="shared" si="15"/>
        <v>9.7971167258237957E-2</v>
      </c>
      <c r="AF151" s="46">
        <f t="shared" si="15"/>
        <v>9.7756242834976789E-2</v>
      </c>
      <c r="AG151" s="46">
        <f t="shared" si="15"/>
        <v>9.7491430286217928E-2</v>
      </c>
      <c r="AH151" s="46">
        <f t="shared" si="15"/>
        <v>9.7194412147383516E-2</v>
      </c>
      <c r="AI151" s="46">
        <f t="shared" si="15"/>
        <v>9.6880209805474335E-2</v>
      </c>
      <c r="AJ151" s="46">
        <f t="shared" si="15"/>
        <v>9.6561516177283951E-2</v>
      </c>
      <c r="AK151" s="46">
        <f t="shared" si="15"/>
        <v>9.6249007542713746E-2</v>
      </c>
      <c r="AL151" s="46">
        <f t="shared" si="15"/>
        <v>9.5951628074343168E-2</v>
      </c>
      <c r="AM151" s="45"/>
      <c r="AN151" s="106">
        <f>ROW()</f>
        <v>151</v>
      </c>
    </row>
    <row r="152" spans="2:40" s="42" customFormat="1" ht="13.9" customHeight="1" x14ac:dyDescent="0.2">
      <c r="B152" s="42" t="s">
        <v>31</v>
      </c>
      <c r="H152" s="43"/>
      <c r="M152" s="174"/>
      <c r="N152" s="174"/>
      <c r="O152" s="174"/>
      <c r="P152" s="46">
        <f t="shared" ref="P152:AL152" si="16">P139/P$135</f>
        <v>2.0279894619326326E-2</v>
      </c>
      <c r="Q152" s="46">
        <f t="shared" si="16"/>
        <v>3.0295723307890716E-2</v>
      </c>
      <c r="R152" s="46">
        <f t="shared" si="16"/>
        <v>3.7084642233199773E-2</v>
      </c>
      <c r="S152" s="46">
        <f t="shared" si="16"/>
        <v>4.1920638829224532E-2</v>
      </c>
      <c r="T152" s="46">
        <f t="shared" si="16"/>
        <v>4.5467162987178511E-2</v>
      </c>
      <c r="U152" s="46">
        <f t="shared" si="16"/>
        <v>4.8106760711046109E-2</v>
      </c>
      <c r="V152" s="46">
        <f t="shared" si="16"/>
        <v>5.007760338017931E-2</v>
      </c>
      <c r="W152" s="46">
        <f t="shared" si="16"/>
        <v>5.1537227836914348E-2</v>
      </c>
      <c r="X152" s="46">
        <f t="shared" si="16"/>
        <v>5.2595111814424986E-2</v>
      </c>
      <c r="Y152" s="46">
        <f t="shared" si="16"/>
        <v>5.3330547740180333E-2</v>
      </c>
      <c r="Z152" s="46">
        <f t="shared" si="16"/>
        <v>5.3091060658098307E-2</v>
      </c>
      <c r="AA152" s="46">
        <f t="shared" si="16"/>
        <v>5.2689240146045972E-2</v>
      </c>
      <c r="AB152" s="46">
        <f t="shared" si="16"/>
        <v>5.2157695910380546E-2</v>
      </c>
      <c r="AC152" s="46">
        <f t="shared" si="16"/>
        <v>5.1528513383456931E-2</v>
      </c>
      <c r="AD152" s="46">
        <f t="shared" si="16"/>
        <v>5.0826900307017905E-2</v>
      </c>
      <c r="AE152" s="46">
        <f t="shared" si="16"/>
        <v>5.1490819094172212E-2</v>
      </c>
      <c r="AF152" s="46">
        <f t="shared" si="16"/>
        <v>5.2050885348715666E-2</v>
      </c>
      <c r="AG152" s="46">
        <f t="shared" si="16"/>
        <v>5.2522625942560013E-2</v>
      </c>
      <c r="AH152" s="46">
        <f t="shared" si="16"/>
        <v>5.291998968323295E-2</v>
      </c>
      <c r="AI152" s="46">
        <f t="shared" si="16"/>
        <v>5.3255416921098989E-2</v>
      </c>
      <c r="AJ152" s="46">
        <f t="shared" si="16"/>
        <v>5.3539938441080293E-2</v>
      </c>
      <c r="AK152" s="46">
        <f t="shared" si="16"/>
        <v>5.3783289650775716E-2</v>
      </c>
      <c r="AL152" s="46">
        <f t="shared" si="16"/>
        <v>5.3994030130192161E-2</v>
      </c>
      <c r="AM152" s="45"/>
      <c r="AN152" s="106">
        <f>ROW()</f>
        <v>152</v>
      </c>
    </row>
    <row r="153" spans="2:40" s="42" customFormat="1" ht="13.9" customHeight="1" x14ac:dyDescent="0.2">
      <c r="B153" s="42" t="s">
        <v>5</v>
      </c>
      <c r="H153" s="43"/>
      <c r="M153" s="174"/>
      <c r="N153" s="174"/>
      <c r="O153" s="174"/>
      <c r="P153" s="46">
        <f t="shared" ref="P153:AE153" si="17">P140/P$135</f>
        <v>0.17587890398806927</v>
      </c>
      <c r="Q153" s="46">
        <f t="shared" si="17"/>
        <v>0.197540958428952</v>
      </c>
      <c r="R153" s="46">
        <f t="shared" si="17"/>
        <v>0.2112423476744017</v>
      </c>
      <c r="S153" s="46">
        <f t="shared" si="17"/>
        <v>0.22051935683568638</v>
      </c>
      <c r="T153" s="46">
        <f t="shared" si="17"/>
        <v>0.22715528637211507</v>
      </c>
      <c r="U153" s="46">
        <f t="shared" si="17"/>
        <v>0.23213517760946903</v>
      </c>
      <c r="V153" s="46">
        <f t="shared" si="17"/>
        <v>0.23603949690487619</v>
      </c>
      <c r="W153" s="46">
        <f t="shared" si="17"/>
        <v>0.23922675890645703</v>
      </c>
      <c r="X153" s="46">
        <f t="shared" si="17"/>
        <v>0.24192606637369923</v>
      </c>
      <c r="Y153" s="46">
        <f t="shared" si="17"/>
        <v>0.2442873482081229</v>
      </c>
      <c r="Z153" s="46">
        <f t="shared" si="17"/>
        <v>0.24382565174926488</v>
      </c>
      <c r="AA153" s="46">
        <f t="shared" si="17"/>
        <v>0.24375898305830337</v>
      </c>
      <c r="AB153" s="46">
        <f t="shared" si="17"/>
        <v>0.24400480793228307</v>
      </c>
      <c r="AC153" s="46">
        <f t="shared" si="17"/>
        <v>0.24443819686914764</v>
      </c>
      <c r="AD153" s="46">
        <f t="shared" si="17"/>
        <v>0.24496261127722119</v>
      </c>
      <c r="AE153" s="46">
        <f t="shared" si="17"/>
        <v>0.24867062140468094</v>
      </c>
      <c r="AF153" s="46">
        <f t="shared" ref="AF153:AL153" si="18">AF140/AF$135</f>
        <v>0.25231477504915634</v>
      </c>
      <c r="AG153" s="46">
        <f t="shared" si="18"/>
        <v>0.25585682368797685</v>
      </c>
      <c r="AH153" s="46">
        <f t="shared" si="18"/>
        <v>0.25926654165228785</v>
      </c>
      <c r="AI153" s="46">
        <f t="shared" si="18"/>
        <v>0.26252041905419865</v>
      </c>
      <c r="AJ153" s="46">
        <f t="shared" si="18"/>
        <v>0.26560048037948586</v>
      </c>
      <c r="AK153" s="46">
        <f t="shared" si="18"/>
        <v>0.26849323319632867</v>
      </c>
      <c r="AL153" s="46">
        <f t="shared" si="18"/>
        <v>0.27118874139674826</v>
      </c>
      <c r="AM153" s="45"/>
      <c r="AN153" s="106">
        <f>ROW()</f>
        <v>153</v>
      </c>
    </row>
    <row r="154" spans="2:40" s="42" customFormat="1" ht="13.9" customHeight="1" x14ac:dyDescent="0.2">
      <c r="H154" s="43"/>
      <c r="M154" s="174"/>
      <c r="N154" s="174"/>
      <c r="O154" s="174"/>
      <c r="P154" s="46"/>
      <c r="Q154" s="45"/>
      <c r="R154" s="45"/>
      <c r="S154" s="45"/>
      <c r="T154" s="45"/>
      <c r="U154" s="45"/>
      <c r="V154" s="45"/>
      <c r="W154" s="45"/>
      <c r="X154" s="45"/>
      <c r="Y154" s="45"/>
      <c r="Z154" s="45"/>
      <c r="AA154" s="45"/>
      <c r="AB154" s="45"/>
      <c r="AC154" s="45"/>
      <c r="AD154" s="45"/>
      <c r="AE154" s="45"/>
      <c r="AF154" s="45"/>
      <c r="AG154" s="45"/>
      <c r="AH154" s="45"/>
      <c r="AI154" s="45"/>
      <c r="AJ154" s="45"/>
      <c r="AK154" s="45"/>
      <c r="AL154" s="45"/>
      <c r="AM154" s="45"/>
      <c r="AN154" s="106">
        <f>ROW()</f>
        <v>154</v>
      </c>
    </row>
    <row r="155" spans="2:40" s="42" customFormat="1" ht="13.9" customHeight="1" x14ac:dyDescent="0.2">
      <c r="B155" s="1" t="s">
        <v>655</v>
      </c>
      <c r="H155" s="43"/>
      <c r="M155" s="174"/>
      <c r="N155" s="174"/>
      <c r="O155" s="174"/>
      <c r="P155" s="46"/>
      <c r="Q155" s="45"/>
      <c r="R155" s="45"/>
      <c r="S155" s="45"/>
      <c r="T155" s="45"/>
      <c r="U155" s="45"/>
      <c r="V155" s="45"/>
      <c r="W155" s="45"/>
      <c r="X155" s="45"/>
      <c r="Y155" s="45"/>
      <c r="Z155" s="45"/>
      <c r="AA155" s="45"/>
      <c r="AB155" s="45"/>
      <c r="AC155" s="45"/>
      <c r="AD155" s="45"/>
      <c r="AE155" s="45"/>
      <c r="AF155" s="45"/>
      <c r="AG155" s="45"/>
      <c r="AH155" s="45"/>
      <c r="AI155" s="45"/>
      <c r="AJ155" s="45"/>
      <c r="AK155" s="45"/>
      <c r="AL155" s="45"/>
      <c r="AM155" s="45"/>
      <c r="AN155" s="106">
        <f>ROW()</f>
        <v>155</v>
      </c>
    </row>
    <row r="156" spans="2:40" s="42" customFormat="1" ht="13.9" customHeight="1" x14ac:dyDescent="0.2">
      <c r="H156" s="43"/>
      <c r="M156" s="174"/>
      <c r="N156" s="174"/>
      <c r="O156" s="174"/>
      <c r="P156" s="46"/>
      <c r="Q156" s="45"/>
      <c r="R156" s="45"/>
      <c r="S156" s="45"/>
      <c r="T156" s="45"/>
      <c r="U156" s="45"/>
      <c r="V156" s="45"/>
      <c r="W156" s="45"/>
      <c r="X156" s="45"/>
      <c r="Y156" s="45"/>
      <c r="Z156" s="45"/>
      <c r="AA156" s="45"/>
      <c r="AB156" s="45"/>
      <c r="AC156" s="45"/>
      <c r="AD156" s="45"/>
      <c r="AE156" s="45"/>
      <c r="AF156" s="45"/>
      <c r="AG156" s="45"/>
      <c r="AH156" s="45"/>
      <c r="AI156" s="45"/>
      <c r="AJ156" s="45"/>
      <c r="AK156" s="45"/>
      <c r="AL156" s="45"/>
      <c r="AM156" s="45"/>
      <c r="AN156" s="106">
        <f>ROW()</f>
        <v>156</v>
      </c>
    </row>
    <row r="157" spans="2:40" s="9" customFormat="1" ht="13.9" customHeight="1" x14ac:dyDescent="0.2">
      <c r="B157" s="9" t="s">
        <v>584</v>
      </c>
      <c r="H157" s="26"/>
      <c r="M157" s="179"/>
      <c r="N157" s="179"/>
      <c r="O157" s="179"/>
      <c r="P157" s="382">
        <f>((Electricity!P63+'Personal Ground Travel'!P65+Freight!P65+Aviation!P65+Other!P65))</f>
        <v>78.679342777878503</v>
      </c>
      <c r="Q157" s="382">
        <f>((Electricity!Q63+'Personal Ground Travel'!Q65+Freight!Q65+Aviation!Q65+Other!Q65))</f>
        <v>108.67534978228421</v>
      </c>
      <c r="R157" s="382">
        <f>((Electricity!R63+'Personal Ground Travel'!R65+Freight!R65+Aviation!R65+Other!R65))</f>
        <v>139.17109346384132</v>
      </c>
      <c r="S157" s="382">
        <f>((Electricity!S63+'Personal Ground Travel'!S65+Freight!S65+Aviation!S65+Other!S65))</f>
        <v>170.3809797332429</v>
      </c>
      <c r="T157" s="382">
        <f>((Electricity!T63+'Personal Ground Travel'!T65+Freight!T65+Aviation!T65+Other!T65))</f>
        <v>201.7196808295601</v>
      </c>
      <c r="U157" s="382">
        <f>((Electricity!U63+'Personal Ground Travel'!U65+Freight!U65+Aviation!U65+Other!U65))</f>
        <v>233.70195666113608</v>
      </c>
      <c r="V157" s="382">
        <f>((Electricity!V63+'Personal Ground Travel'!V65+Freight!V65+Aviation!V65+Other!V65))</f>
        <v>265.9424307305311</v>
      </c>
      <c r="W157" s="382">
        <f>((Electricity!W63+'Personal Ground Travel'!W65+Freight!W65+Aviation!W65+Other!W65))</f>
        <v>298.65531460311723</v>
      </c>
      <c r="X157" s="382">
        <f>((Electricity!X63+'Personal Ground Travel'!X65+Freight!X65+Aviation!X65+Other!X65))</f>
        <v>331.65407490765097</v>
      </c>
      <c r="Y157" s="382">
        <f>((Electricity!Y63+'Personal Ground Travel'!Y65+Freight!Y65+Aviation!Y65+Other!Y65))</f>
        <v>365.0510371652274</v>
      </c>
      <c r="Z157" s="382">
        <f>((Electricity!Z63+'Personal Ground Travel'!Z65+Freight!Z65+Aviation!Z65+Other!Z65))</f>
        <v>400.78970583156161</v>
      </c>
      <c r="AA157" s="382">
        <f>((Electricity!AA63+'Personal Ground Travel'!AA65+Freight!AA65+Aviation!AA65+Other!AA65))</f>
        <v>437.50973710045162</v>
      </c>
      <c r="AB157" s="382">
        <f>((Electricity!AB63+'Personal Ground Travel'!AB65+Freight!AB65+Aviation!AB65+Other!AB65))</f>
        <v>474.82919587319617</v>
      </c>
      <c r="AC157" s="382">
        <f>((Electricity!AC63+'Personal Ground Travel'!AC65+Freight!AC65+Aviation!AC65+Other!AC65))</f>
        <v>513.16758925253589</v>
      </c>
      <c r="AD157" s="382">
        <f>((Electricity!AD63+'Personal Ground Travel'!AD65+Freight!AD65+Aviation!AD65+Other!AD65))</f>
        <v>552.64320406126717</v>
      </c>
      <c r="AE157" s="382">
        <f>((Electricity!AE63+'Personal Ground Travel'!AE65+Freight!AE65+Aviation!AE65+Other!AE65))</f>
        <v>551.17666379931745</v>
      </c>
      <c r="AF157" s="382">
        <f>((Electricity!AF63+'Personal Ground Travel'!AF65+Freight!AF65+Aviation!AF65+Other!AF65))</f>
        <v>549.89113799677466</v>
      </c>
      <c r="AG157" s="382">
        <f>((Electricity!AG63+'Personal Ground Travel'!AG65+Freight!AG65+Aviation!AG65+Other!AG65))</f>
        <v>548.28950811801417</v>
      </c>
      <c r="AH157" s="382">
        <f>((Electricity!AH63+'Personal Ground Travel'!AH65+Freight!AH65+Aviation!AH65+Other!AH65))</f>
        <v>546.47479238170604</v>
      </c>
      <c r="AI157" s="382">
        <f>((Electricity!AI63+'Personal Ground Travel'!AI65+Freight!AI65+Aviation!AI65+Other!AI65))</f>
        <v>544.8501307561628</v>
      </c>
      <c r="AJ157" s="382">
        <f>((Electricity!AJ63+'Personal Ground Travel'!AJ65+Freight!AJ65+Aviation!AJ65+Other!AJ65))</f>
        <v>543.01876746950506</v>
      </c>
      <c r="AK157" s="382">
        <f>((Electricity!AK63+'Personal Ground Travel'!AK65+Freight!AK65+Aviation!AK65+Other!AK65))</f>
        <v>541.08403075713431</v>
      </c>
      <c r="AL157" s="382">
        <f>((Electricity!AL63+'Personal Ground Travel'!AL65+Freight!AL65+Aviation!AL65+Other!AL65))</f>
        <v>539.24930953062426</v>
      </c>
      <c r="AM157" s="295">
        <f>((Electricity!AM63+'Personal Ground Travel'!AM65+Freight!AM65+Aviation!AM65+Other!AM65))</f>
        <v>0</v>
      </c>
      <c r="AN157" s="106">
        <f>ROW()</f>
        <v>157</v>
      </c>
    </row>
    <row r="158" spans="2:40" ht="13.9" customHeight="1" x14ac:dyDescent="0.2">
      <c r="M158" s="84"/>
      <c r="AN158" s="106">
        <f>ROW()</f>
        <v>158</v>
      </c>
    </row>
    <row r="159" spans="2:40" s="8" customFormat="1" ht="13.9" customHeight="1" x14ac:dyDescent="0.2">
      <c r="B159" s="10" t="s">
        <v>112</v>
      </c>
      <c r="M159" s="180"/>
      <c r="N159" s="180"/>
      <c r="O159" s="180"/>
      <c r="P159" s="8">
        <v>316.26600000000002</v>
      </c>
      <c r="Q159" s="8">
        <v>319.33</v>
      </c>
      <c r="R159" s="8">
        <v>322.423</v>
      </c>
      <c r="S159" s="8">
        <v>325.54000000000002</v>
      </c>
      <c r="T159" s="8">
        <v>328.678</v>
      </c>
      <c r="U159" s="8">
        <v>331.83300000000003</v>
      </c>
      <c r="V159" s="8">
        <v>335.005</v>
      </c>
      <c r="W159" s="8">
        <v>338.19</v>
      </c>
      <c r="X159" s="8">
        <v>341.387</v>
      </c>
      <c r="Y159" s="8">
        <v>344.59199999999998</v>
      </c>
      <c r="Z159" s="8">
        <v>347.803</v>
      </c>
      <c r="AA159" s="8">
        <v>351.01799999999997</v>
      </c>
      <c r="AB159" s="8">
        <v>354.23500000000001</v>
      </c>
      <c r="AC159" s="8">
        <v>357.452</v>
      </c>
      <c r="AD159" s="8">
        <v>360.66699999999997</v>
      </c>
      <c r="AE159" s="8">
        <v>363.88</v>
      </c>
      <c r="AF159" s="8">
        <v>367.09</v>
      </c>
      <c r="AG159" s="8">
        <v>370.298</v>
      </c>
      <c r="AH159" s="8">
        <v>373.50400000000002</v>
      </c>
      <c r="AI159" s="8">
        <v>376.70800000000003</v>
      </c>
      <c r="AJ159" s="8">
        <v>379.91199999999998</v>
      </c>
      <c r="AK159" s="8">
        <v>383.11700000000002</v>
      </c>
      <c r="AL159" s="8">
        <v>386.32299999999998</v>
      </c>
      <c r="AN159" s="106">
        <f>ROW()</f>
        <v>159</v>
      </c>
    </row>
    <row r="160" spans="2:40" ht="13.9" customHeight="1" x14ac:dyDescent="0.2">
      <c r="B160" s="396" t="s">
        <v>113</v>
      </c>
      <c r="C160" s="392"/>
      <c r="D160" s="392"/>
      <c r="E160" s="392"/>
      <c r="F160" s="392"/>
      <c r="G160" s="392"/>
      <c r="H160" s="392"/>
      <c r="I160" s="392"/>
      <c r="J160" s="392"/>
      <c r="K160" s="392"/>
      <c r="L160" s="392"/>
      <c r="M160" s="423"/>
      <c r="N160" s="173"/>
      <c r="O160" s="173"/>
      <c r="AN160" s="106">
        <f>ROW()</f>
        <v>160</v>
      </c>
    </row>
    <row r="161" spans="2:40" ht="13.9" customHeight="1" x14ac:dyDescent="0.2">
      <c r="B161" s="392"/>
      <c r="C161" s="392"/>
      <c r="D161" s="392"/>
      <c r="E161" s="392"/>
      <c r="F161" s="392"/>
      <c r="G161" s="392"/>
      <c r="H161" s="392"/>
      <c r="I161" s="392"/>
      <c r="J161" s="392"/>
      <c r="K161" s="392"/>
      <c r="L161" s="392"/>
      <c r="M161" s="423"/>
      <c r="N161" s="173"/>
      <c r="O161" s="173"/>
      <c r="P161" s="96">
        <f>P115</f>
        <v>2012</v>
      </c>
      <c r="Q161" s="96">
        <f>Q115</f>
        <v>2013</v>
      </c>
      <c r="R161" s="96">
        <f t="shared" ref="R161:AL161" si="19">R115</f>
        <v>2014</v>
      </c>
      <c r="S161" s="96">
        <f t="shared" si="19"/>
        <v>2015</v>
      </c>
      <c r="T161" s="96">
        <f t="shared" si="19"/>
        <v>2016</v>
      </c>
      <c r="U161" s="96">
        <f t="shared" si="19"/>
        <v>2017</v>
      </c>
      <c r="V161" s="96">
        <f t="shared" si="19"/>
        <v>2018</v>
      </c>
      <c r="W161" s="96">
        <f t="shared" si="19"/>
        <v>2019</v>
      </c>
      <c r="X161" s="96">
        <f t="shared" si="19"/>
        <v>2020</v>
      </c>
      <c r="Y161" s="96">
        <f t="shared" si="19"/>
        <v>2021</v>
      </c>
      <c r="Z161" s="96">
        <f t="shared" si="19"/>
        <v>2022</v>
      </c>
      <c r="AA161" s="96">
        <f t="shared" si="19"/>
        <v>2023</v>
      </c>
      <c r="AB161" s="96">
        <f t="shared" si="19"/>
        <v>2024</v>
      </c>
      <c r="AC161" s="96">
        <f t="shared" si="19"/>
        <v>2025</v>
      </c>
      <c r="AD161" s="96">
        <f t="shared" si="19"/>
        <v>2026</v>
      </c>
      <c r="AE161" s="96">
        <f t="shared" si="19"/>
        <v>2027</v>
      </c>
      <c r="AF161" s="96">
        <f t="shared" si="19"/>
        <v>2028</v>
      </c>
      <c r="AG161" s="96">
        <f t="shared" si="19"/>
        <v>2029</v>
      </c>
      <c r="AH161" s="96">
        <f t="shared" si="19"/>
        <v>2030</v>
      </c>
      <c r="AI161" s="96">
        <f t="shared" si="19"/>
        <v>2031</v>
      </c>
      <c r="AJ161" s="96">
        <f t="shared" si="19"/>
        <v>2032</v>
      </c>
      <c r="AK161" s="96">
        <f t="shared" si="19"/>
        <v>2033</v>
      </c>
      <c r="AL161" s="96">
        <f t="shared" si="19"/>
        <v>2034</v>
      </c>
      <c r="AN161" s="106">
        <f>ROW()</f>
        <v>161</v>
      </c>
    </row>
    <row r="162" spans="2:40" ht="13.9" customHeight="1" x14ac:dyDescent="0.2">
      <c r="M162" s="84"/>
      <c r="AN162" s="106">
        <f>ROW()</f>
        <v>162</v>
      </c>
    </row>
    <row r="163" spans="2:40" ht="13.9" customHeight="1" x14ac:dyDescent="0.2">
      <c r="B163" s="9" t="s">
        <v>657</v>
      </c>
      <c r="M163" s="84"/>
      <c r="P163" s="377">
        <f t="shared" ref="P163:AL163" si="20">1000*P157/P159</f>
        <v>248.77584937324434</v>
      </c>
      <c r="Q163" s="377">
        <f t="shared" si="20"/>
        <v>340.32301939148914</v>
      </c>
      <c r="R163" s="377">
        <f t="shared" si="20"/>
        <v>431.64133285727536</v>
      </c>
      <c r="S163" s="377">
        <f t="shared" si="20"/>
        <v>523.37955315243255</v>
      </c>
      <c r="T163" s="377">
        <f t="shared" si="20"/>
        <v>613.73040127285697</v>
      </c>
      <c r="U163" s="377">
        <f t="shared" si="20"/>
        <v>704.27581542865255</v>
      </c>
      <c r="V163" s="377">
        <f t="shared" si="20"/>
        <v>793.84615373063423</v>
      </c>
      <c r="W163" s="377">
        <f t="shared" si="20"/>
        <v>883.09918863099813</v>
      </c>
      <c r="X163" s="377">
        <f t="shared" si="20"/>
        <v>971.49005353938765</v>
      </c>
      <c r="Y163" s="377">
        <f t="shared" si="20"/>
        <v>1059.371770572815</v>
      </c>
      <c r="Z163" s="377">
        <f t="shared" si="20"/>
        <v>1152.346891290649</v>
      </c>
      <c r="AA163" s="377">
        <f t="shared" si="20"/>
        <v>1246.4025693851929</v>
      </c>
      <c r="AB163" s="377">
        <f t="shared" si="20"/>
        <v>1340.4355748957505</v>
      </c>
      <c r="AC163" s="377">
        <f t="shared" si="20"/>
        <v>1435.6265715467696</v>
      </c>
      <c r="AD163" s="377">
        <f t="shared" si="20"/>
        <v>1532.2810350302834</v>
      </c>
      <c r="AE163" s="377">
        <f t="shared" si="20"/>
        <v>1514.7209624033128</v>
      </c>
      <c r="AF163" s="377">
        <f t="shared" si="20"/>
        <v>1497.9736249878085</v>
      </c>
      <c r="AG163" s="377">
        <f t="shared" si="20"/>
        <v>1480.6709950310674</v>
      </c>
      <c r="AH163" s="377">
        <f t="shared" si="20"/>
        <v>1463.1029182597938</v>
      </c>
      <c r="AI163" s="377">
        <f t="shared" si="20"/>
        <v>1446.3460578383331</v>
      </c>
      <c r="AJ163" s="377">
        <f t="shared" si="20"/>
        <v>1429.3277587165057</v>
      </c>
      <c r="AK163" s="377">
        <f t="shared" si="20"/>
        <v>1412.3205985564052</v>
      </c>
      <c r="AL163" s="377">
        <f t="shared" si="20"/>
        <v>1395.8509059274863</v>
      </c>
      <c r="AN163" s="106">
        <f>ROW()</f>
        <v>163</v>
      </c>
    </row>
    <row r="164" spans="2:40" ht="13.9" customHeight="1" x14ac:dyDescent="0.2">
      <c r="M164" s="84"/>
      <c r="AN164" s="106">
        <f>ROW()</f>
        <v>164</v>
      </c>
    </row>
    <row r="165" spans="2:40" ht="13.9" customHeight="1" x14ac:dyDescent="0.2">
      <c r="B165" s="1" t="s">
        <v>656</v>
      </c>
      <c r="M165" s="84"/>
      <c r="AN165" s="106">
        <f>ROW()</f>
        <v>165</v>
      </c>
    </row>
    <row r="166" spans="2:40" ht="13.9" customHeight="1" x14ac:dyDescent="0.2">
      <c r="M166" s="84"/>
      <c r="AN166" s="106">
        <f>ROW()</f>
        <v>166</v>
      </c>
    </row>
    <row r="167" spans="2:40" ht="13.9" customHeight="1" x14ac:dyDescent="0.2">
      <c r="B167" s="9" t="s">
        <v>643</v>
      </c>
      <c r="I167" s="341">
        <f t="shared" ref="I167:P167" si="21">I148</f>
        <v>2005</v>
      </c>
      <c r="J167" s="341">
        <f t="shared" si="21"/>
        <v>2006</v>
      </c>
      <c r="K167" s="341">
        <f t="shared" si="21"/>
        <v>2007</v>
      </c>
      <c r="L167" s="341">
        <f t="shared" si="21"/>
        <v>2008</v>
      </c>
      <c r="M167" s="341">
        <f t="shared" si="21"/>
        <v>2009</v>
      </c>
      <c r="N167" s="341">
        <f t="shared" si="21"/>
        <v>2010</v>
      </c>
      <c r="O167" s="341">
        <f t="shared" si="21"/>
        <v>2011</v>
      </c>
      <c r="P167" s="341">
        <f t="shared" si="21"/>
        <v>2012</v>
      </c>
      <c r="Q167" s="341">
        <f t="shared" ref="Q167:AL167" si="22">Q148</f>
        <v>2013</v>
      </c>
      <c r="R167" s="341">
        <f t="shared" si="22"/>
        <v>2014</v>
      </c>
      <c r="S167" s="341">
        <f t="shared" si="22"/>
        <v>2015</v>
      </c>
      <c r="T167" s="341">
        <f t="shared" si="22"/>
        <v>2016</v>
      </c>
      <c r="U167" s="341">
        <f t="shared" si="22"/>
        <v>2017</v>
      </c>
      <c r="V167" s="341">
        <f t="shared" si="22"/>
        <v>2018</v>
      </c>
      <c r="W167" s="341">
        <f t="shared" si="22"/>
        <v>2019</v>
      </c>
      <c r="X167" s="341">
        <f t="shared" si="22"/>
        <v>2020</v>
      </c>
      <c r="Y167" s="341">
        <f t="shared" si="22"/>
        <v>2021</v>
      </c>
      <c r="Z167" s="341">
        <f t="shared" si="22"/>
        <v>2022</v>
      </c>
      <c r="AA167" s="341">
        <f t="shared" si="22"/>
        <v>2023</v>
      </c>
      <c r="AB167" s="341">
        <f t="shared" si="22"/>
        <v>2024</v>
      </c>
      <c r="AC167" s="341">
        <f t="shared" si="22"/>
        <v>2025</v>
      </c>
      <c r="AD167" s="341">
        <f t="shared" si="22"/>
        <v>2026</v>
      </c>
      <c r="AE167" s="341">
        <f t="shared" si="22"/>
        <v>2027</v>
      </c>
      <c r="AF167" s="341">
        <f t="shared" si="22"/>
        <v>2028</v>
      </c>
      <c r="AG167" s="341">
        <f t="shared" si="22"/>
        <v>2029</v>
      </c>
      <c r="AH167" s="341">
        <f t="shared" si="22"/>
        <v>2030</v>
      </c>
      <c r="AI167" s="341">
        <f t="shared" si="22"/>
        <v>2031</v>
      </c>
      <c r="AJ167" s="341">
        <f t="shared" si="22"/>
        <v>2032</v>
      </c>
      <c r="AK167" s="341">
        <f t="shared" si="22"/>
        <v>2033</v>
      </c>
      <c r="AL167" s="341">
        <f t="shared" si="22"/>
        <v>2034</v>
      </c>
      <c r="AN167" s="106">
        <f>ROW()</f>
        <v>167</v>
      </c>
    </row>
    <row r="168" spans="2:40" ht="13.9" customHeight="1" x14ac:dyDescent="0.2">
      <c r="M168" s="84"/>
      <c r="AN168" s="106">
        <f>ROW()</f>
        <v>168</v>
      </c>
    </row>
    <row r="169" spans="2:40" ht="13.9" customHeight="1" x14ac:dyDescent="0.2">
      <c r="B169" s="9" t="s">
        <v>638</v>
      </c>
      <c r="I169" s="27">
        <f>SUM(I170:I174)</f>
        <v>20275.414164397465</v>
      </c>
      <c r="J169" s="27">
        <f t="shared" ref="J169:AL169" si="23">SUM(J170:J174)</f>
        <v>20310.541796050304</v>
      </c>
      <c r="K169" s="27">
        <f t="shared" si="23"/>
        <v>20345.669427703146</v>
      </c>
      <c r="L169" s="27">
        <f t="shared" si="23"/>
        <v>19501.139827015551</v>
      </c>
      <c r="M169" s="27">
        <f t="shared" si="23"/>
        <v>18645.204131471633</v>
      </c>
      <c r="N169" s="27">
        <f t="shared" si="23"/>
        <v>19165.946661645201</v>
      </c>
      <c r="O169" s="27">
        <f t="shared" si="23"/>
        <v>19079.198832002687</v>
      </c>
      <c r="P169" s="27">
        <f t="shared" si="23"/>
        <v>19156.602481000806</v>
      </c>
      <c r="Q169" s="27">
        <f t="shared" si="23"/>
        <v>19303.531670760931</v>
      </c>
      <c r="R169" s="27">
        <f t="shared" si="23"/>
        <v>19451.632084064204</v>
      </c>
      <c r="S169" s="27">
        <f t="shared" si="23"/>
        <v>19600.913433586789</v>
      </c>
      <c r="T169" s="27">
        <f t="shared" si="23"/>
        <v>19751.385515641985</v>
      </c>
      <c r="U169" s="27">
        <f t="shared" si="23"/>
        <v>19903.058210924963</v>
      </c>
      <c r="V169" s="27">
        <f t="shared" si="23"/>
        <v>20055.941485264313</v>
      </c>
      <c r="W169" s="27">
        <f t="shared" si="23"/>
        <v>20210.045390380474</v>
      </c>
      <c r="X169" s="27">
        <f t="shared" si="23"/>
        <v>20365.380064651144</v>
      </c>
      <c r="Y169" s="27">
        <f t="shared" si="23"/>
        <v>20521.955733883653</v>
      </c>
      <c r="Z169" s="27">
        <f t="shared" si="23"/>
        <v>20679.782712094438</v>
      </c>
      <c r="AA169" s="27">
        <f t="shared" si="23"/>
        <v>20838.871402295652</v>
      </c>
      <c r="AB169" s="27">
        <f t="shared" si="23"/>
        <v>20999.232297289047</v>
      </c>
      <c r="AC169" s="27">
        <f t="shared" si="23"/>
        <v>21160.875980467012</v>
      </c>
      <c r="AD169" s="27">
        <f t="shared" si="23"/>
        <v>21323.813126621091</v>
      </c>
      <c r="AE169" s="27">
        <f t="shared" si="23"/>
        <v>21488.054502757826</v>
      </c>
      <c r="AF169" s="27">
        <f t="shared" si="23"/>
        <v>21653.610968922112</v>
      </c>
      <c r="AG169" s="27">
        <f t="shared" si="23"/>
        <v>21820.493479028148</v>
      </c>
      <c r="AH169" s="27">
        <f t="shared" si="23"/>
        <v>21988.713081697955</v>
      </c>
      <c r="AI169" s="27">
        <f t="shared" si="23"/>
        <v>22158.280921107606</v>
      </c>
      <c r="AJ169" s="27">
        <f t="shared" si="23"/>
        <v>22329.208237841282</v>
      </c>
      <c r="AK169" s="27">
        <f t="shared" si="23"/>
        <v>22501.50636975309</v>
      </c>
      <c r="AL169" s="27">
        <f t="shared" si="23"/>
        <v>22675.186752836853</v>
      </c>
      <c r="AN169" s="106">
        <f>ROW()</f>
        <v>169</v>
      </c>
    </row>
    <row r="170" spans="2:40" ht="13.9" customHeight="1" x14ac:dyDescent="0.2">
      <c r="B170" s="42" t="s">
        <v>4</v>
      </c>
      <c r="I170" s="24">
        <f>Graph_Oil!I76</f>
        <v>185.38857706155244</v>
      </c>
      <c r="J170" s="24">
        <f>Graph_Oil!J76</f>
        <v>185.80707010093678</v>
      </c>
      <c r="K170" s="24">
        <f>Graph_Oil!K76</f>
        <v>186.22556314032104</v>
      </c>
      <c r="L170" s="24">
        <f>Graph_Oil!L76</f>
        <v>182.19420817377525</v>
      </c>
      <c r="M170" s="24">
        <f>Graph_Oil!M76</f>
        <v>166.3145089912673</v>
      </c>
      <c r="N170" s="24">
        <f>Graph_Oil!N76</f>
        <v>174.42950169011098</v>
      </c>
      <c r="O170" s="24">
        <f>Graph_Oil!O76</f>
        <v>174.99538339370176</v>
      </c>
      <c r="P170" s="24">
        <f>Graph_Oil!P76</f>
        <v>175.61271709674651</v>
      </c>
      <c r="Q170" s="24">
        <f>Graph_Oil!Q76</f>
        <v>176.88293276380486</v>
      </c>
      <c r="R170" s="24">
        <f>Graph_Oil!R76</f>
        <v>178.16233596504361</v>
      </c>
      <c r="S170" s="24">
        <f>Graph_Oil!S76</f>
        <v>179.45099315436227</v>
      </c>
      <c r="T170" s="24">
        <f>Graph_Oil!T76</f>
        <v>180.74897126632484</v>
      </c>
      <c r="U170" s="24">
        <f>Graph_Oil!U76</f>
        <v>182.05633771963625</v>
      </c>
      <c r="V170" s="24">
        <f>Graph_Oil!V76</f>
        <v>183.37316042064458</v>
      </c>
      <c r="W170" s="24">
        <f>Graph_Oil!W76</f>
        <v>184.6995077668677</v>
      </c>
      <c r="X170" s="24">
        <f>Graph_Oil!X76</f>
        <v>186.03544865054641</v>
      </c>
      <c r="Y170" s="24">
        <f>Graph_Oil!Y76</f>
        <v>187.38105246222241</v>
      </c>
      <c r="Z170" s="24">
        <f>Graph_Oil!Z76</f>
        <v>188.73638909434263</v>
      </c>
      <c r="AA170" s="24">
        <f>Graph_Oil!AA76</f>
        <v>190.10152894488982</v>
      </c>
      <c r="AB170" s="24">
        <f>Graph_Oil!AB76</f>
        <v>191.47654292103891</v>
      </c>
      <c r="AC170" s="24">
        <f>Graph_Oil!AC76</f>
        <v>192.86150244283996</v>
      </c>
      <c r="AD170" s="24">
        <f>Graph_Oil!AD76</f>
        <v>194.25647944692753</v>
      </c>
      <c r="AE170" s="24">
        <f>Graph_Oil!AE76</f>
        <v>195.66154639025797</v>
      </c>
      <c r="AF170" s="24">
        <f>Graph_Oil!AF76</f>
        <v>197.07677625387225</v>
      </c>
      <c r="AG170" s="24">
        <f>Graph_Oil!AG76</f>
        <v>198.50224254668694</v>
      </c>
      <c r="AH170" s="24">
        <f>Graph_Oil!AH76</f>
        <v>199.93801930931238</v>
      </c>
      <c r="AI170" s="24">
        <f>Graph_Oil!AI76</f>
        <v>201.38418111789809</v>
      </c>
      <c r="AJ170" s="24">
        <f>Graph_Oil!AJ76</f>
        <v>202.84080308800725</v>
      </c>
      <c r="AK170" s="24">
        <f>Graph_Oil!AK76</f>
        <v>204.30796087851689</v>
      </c>
      <c r="AL170" s="24">
        <f>Graph_Oil!AL76</f>
        <v>205.78573069554943</v>
      </c>
      <c r="AN170" s="106">
        <f>ROW()</f>
        <v>170</v>
      </c>
    </row>
    <row r="171" spans="2:40" ht="13.9" customHeight="1" x14ac:dyDescent="0.2">
      <c r="B171" s="42" t="s">
        <v>450</v>
      </c>
      <c r="I171" s="24">
        <f>Graph_Oil!I77</f>
        <v>9437.1732221200018</v>
      </c>
      <c r="J171" s="24">
        <f>Graph_Oil!J77</f>
        <v>9413.2917209252682</v>
      </c>
      <c r="K171" s="24">
        <f>Graph_Oil!K77</f>
        <v>9389.4102197305328</v>
      </c>
      <c r="L171" s="24">
        <f>Graph_Oil!L77</f>
        <v>8977.8523491412416</v>
      </c>
      <c r="M171" s="24">
        <f>Graph_Oil!M77</f>
        <v>8985.8128495394849</v>
      </c>
      <c r="N171" s="24">
        <f>Graph_Oil!N77</f>
        <v>8991.114938257997</v>
      </c>
      <c r="O171" s="24">
        <f>Graph_Oil!O77</f>
        <v>8806.3356520863872</v>
      </c>
      <c r="P171" s="24">
        <f>Graph_Oil!P77</f>
        <v>8834.4099474204122</v>
      </c>
      <c r="Q171" s="24">
        <f>Graph_Oil!Q77</f>
        <v>8891.6552312949789</v>
      </c>
      <c r="R171" s="24">
        <f>Graph_Oil!R77</f>
        <v>8949.2714536414278</v>
      </c>
      <c r="S171" s="24">
        <f>Graph_Oil!S77</f>
        <v>9007.2610180699921</v>
      </c>
      <c r="T171" s="24">
        <f>Graph_Oil!T77</f>
        <v>9065.626343765829</v>
      </c>
      <c r="U171" s="24">
        <f>Graph_Oil!U77</f>
        <v>9124.3698655899643</v>
      </c>
      <c r="V171" s="24">
        <f>Graph_Oil!V77</f>
        <v>9183.4940341808488</v>
      </c>
      <c r="W171" s="24">
        <f>Graph_Oil!W77</f>
        <v>9243.0013160565959</v>
      </c>
      <c r="X171" s="24">
        <f>Graph_Oil!X77</f>
        <v>9302.8941937178988</v>
      </c>
      <c r="Y171" s="24">
        <f>Graph_Oil!Y77</f>
        <v>9363.1751657515724</v>
      </c>
      <c r="Z171" s="24">
        <f>Graph_Oil!Z77</f>
        <v>9423.8467469347925</v>
      </c>
      <c r="AA171" s="24">
        <f>Graph_Oil!AA77</f>
        <v>9484.9114683400076</v>
      </c>
      <c r="AB171" s="24">
        <f>Graph_Oil!AB77</f>
        <v>9546.3718774405406</v>
      </c>
      <c r="AC171" s="24">
        <f>Graph_Oil!AC77</f>
        <v>9608.2305382168415</v>
      </c>
      <c r="AD171" s="24">
        <f>Graph_Oil!AD77</f>
        <v>9670.4900312634727</v>
      </c>
      <c r="AE171" s="24">
        <f>Graph_Oil!AE77</f>
        <v>9733.1529538967516</v>
      </c>
      <c r="AF171" s="24">
        <f>Graph_Oil!AF77</f>
        <v>9796.2219202631004</v>
      </c>
      <c r="AG171" s="24">
        <f>Graph_Oil!AG77</f>
        <v>9859.6995614481184</v>
      </c>
      <c r="AH171" s="24">
        <f>Graph_Oil!AH77</f>
        <v>9923.5885255863377</v>
      </c>
      <c r="AI171" s="24">
        <f>Graph_Oil!AI77</f>
        <v>9987.8914779716815</v>
      </c>
      <c r="AJ171" s="24">
        <f>Graph_Oil!AJ77</f>
        <v>10052.611101168677</v>
      </c>
      <c r="AK171" s="24">
        <f>Graph_Oil!AK77</f>
        <v>10117.750095124358</v>
      </c>
      <c r="AL171" s="24">
        <f>Graph_Oil!AL77</f>
        <v>10183.311177280895</v>
      </c>
      <c r="AN171" s="106">
        <f>ROW()</f>
        <v>171</v>
      </c>
    </row>
    <row r="172" spans="2:40" ht="13.9" customHeight="1" x14ac:dyDescent="0.2">
      <c r="B172" s="42" t="s">
        <v>296</v>
      </c>
      <c r="I172" s="24">
        <f>Graph_Oil!I78</f>
        <v>3339.7079167664097</v>
      </c>
      <c r="J172" s="24">
        <f>Graph_Oil!J78</f>
        <v>3430.3251114399377</v>
      </c>
      <c r="K172" s="24">
        <f>Graph_Oil!K78</f>
        <v>3520.9423061134657</v>
      </c>
      <c r="L172" s="24">
        <f>Graph_Oil!L78</f>
        <v>3286.554367947308</v>
      </c>
      <c r="M172" s="24">
        <f>Graph_Oil!M78</f>
        <v>2917.0411430241602</v>
      </c>
      <c r="N172" s="24">
        <f>Graph_Oil!N78</f>
        <v>3039.7308714843034</v>
      </c>
      <c r="O172" s="24">
        <f>Graph_Oil!O78</f>
        <v>3108.7910675985377</v>
      </c>
      <c r="P172" s="24">
        <f>Graph_Oil!P78</f>
        <v>3118.4351546267189</v>
      </c>
      <c r="Q172" s="24">
        <f>Graph_Oil!Q78</f>
        <v>3139.6591112265241</v>
      </c>
      <c r="R172" s="24">
        <f>Graph_Oil!R78</f>
        <v>3161.0275173054474</v>
      </c>
      <c r="S172" s="24">
        <f>Graph_Oil!S78</f>
        <v>3182.5413559814078</v>
      </c>
      <c r="T172" s="24">
        <f>Graph_Oil!T78</f>
        <v>3204.2016170633865</v>
      </c>
      <c r="U172" s="24">
        <f>Graph_Oil!U78</f>
        <v>3226.0092970969713</v>
      </c>
      <c r="V172" s="24">
        <f>Graph_Oil!V78</f>
        <v>3247.9653994102005</v>
      </c>
      <c r="W172" s="24">
        <f>Graph_Oil!W78</f>
        <v>3270.0709341597285</v>
      </c>
      <c r="X172" s="24">
        <f>Graph_Oil!X78</f>
        <v>3292.3269183772995</v>
      </c>
      <c r="Y172" s="24">
        <f>Graph_Oil!Y78</f>
        <v>3314.7343760165386</v>
      </c>
      <c r="Z172" s="24">
        <f>Graph_Oil!Z78</f>
        <v>3337.2943380000611</v>
      </c>
      <c r="AA172" s="24">
        <f>Graph_Oil!AA78</f>
        <v>3360.0078422669048</v>
      </c>
      <c r="AB172" s="24">
        <f>Graph_Oil!AB78</f>
        <v>3382.875933820284</v>
      </c>
      <c r="AC172" s="24">
        <f>Graph_Oil!AC78</f>
        <v>3405.899664775664</v>
      </c>
      <c r="AD172" s="24">
        <f>Graph_Oil!AD78</f>
        <v>3429.0800944091748</v>
      </c>
      <c r="AE172" s="24">
        <f>Graph_Oil!AE78</f>
        <v>3452.4182892063377</v>
      </c>
      <c r="AF172" s="24">
        <f>Graph_Oil!AF78</f>
        <v>3475.9153229111362</v>
      </c>
      <c r="AG172" s="24">
        <f>Graph_Oil!AG78</f>
        <v>3499.5722765754163</v>
      </c>
      <c r="AH172" s="24">
        <f>Graph_Oil!AH78</f>
        <v>3523.3902386086229</v>
      </c>
      <c r="AI172" s="24">
        <f>Graph_Oil!AI78</f>
        <v>3547.3703048278794</v>
      </c>
      <c r="AJ172" s="24">
        <f>Graph_Oil!AJ78</f>
        <v>3571.5135785083994</v>
      </c>
      <c r="AK172" s="24">
        <f>Graph_Oil!AK78</f>
        <v>3595.8211704342452</v>
      </c>
      <c r="AL172" s="24">
        <f>Graph_Oil!AL78</f>
        <v>3620.2941989494366</v>
      </c>
      <c r="AN172" s="106">
        <f>ROW()</f>
        <v>172</v>
      </c>
    </row>
    <row r="173" spans="2:40" ht="13.9" customHeight="1" x14ac:dyDescent="0.2">
      <c r="B173" s="42" t="s">
        <v>31</v>
      </c>
      <c r="I173" s="24">
        <f>Graph_Oil!I79</f>
        <v>1603.1834643076966</v>
      </c>
      <c r="J173" s="24">
        <f>Graph_Oil!J79</f>
        <v>1580.6898187625629</v>
      </c>
      <c r="K173" s="24">
        <f>Graph_Oil!K79</f>
        <v>1558.1961732174293</v>
      </c>
      <c r="L173" s="24">
        <f>Graph_Oil!L79</f>
        <v>1474.356221640114</v>
      </c>
      <c r="M173" s="24">
        <f>Graph_Oil!M79</f>
        <v>1335.3045946338343</v>
      </c>
      <c r="N173" s="24">
        <f>Graph_Oil!N79</f>
        <v>1445.1756208347035</v>
      </c>
      <c r="O173" s="24">
        <f>Graph_Oil!O79</f>
        <v>1447.3450276161107</v>
      </c>
      <c r="P173" s="24">
        <f>Graph_Oil!P79</f>
        <v>1451.8092688174788</v>
      </c>
      <c r="Q173" s="24">
        <f>Graph_Oil!Q79</f>
        <v>1463.4611086431794</v>
      </c>
      <c r="R173" s="24">
        <f>Graph_Oil!R79</f>
        <v>1475.2064630745788</v>
      </c>
      <c r="S173" s="24">
        <f>Graph_Oil!S79</f>
        <v>1487.0460826353374</v>
      </c>
      <c r="T173" s="24">
        <f>Graph_Oil!T79</f>
        <v>1498.9807238726225</v>
      </c>
      <c r="U173" s="24">
        <f>Graph_Oil!U79</f>
        <v>1511.0111494054486</v>
      </c>
      <c r="V173" s="24">
        <f>Graph_Oil!V79</f>
        <v>1523.1381279734117</v>
      </c>
      <c r="W173" s="24">
        <f>Graph_Oil!W79</f>
        <v>1535.3624344858081</v>
      </c>
      <c r="X173" s="24">
        <f>Graph_Oil!X79</f>
        <v>1547.6848500711537</v>
      </c>
      <c r="Y173" s="24">
        <f>Graph_Oil!Y79</f>
        <v>1560.1061621270962</v>
      </c>
      <c r="Z173" s="24">
        <f>Graph_Oil!Z79</f>
        <v>1572.6271643707305</v>
      </c>
      <c r="AA173" s="24">
        <f>Graph_Oil!AA79</f>
        <v>1585.2486568893155</v>
      </c>
      <c r="AB173" s="24">
        <f>Graph_Oil!AB79</f>
        <v>1597.9714461914018</v>
      </c>
      <c r="AC173" s="24">
        <f>Graph_Oil!AC79</f>
        <v>1610.7963452583638</v>
      </c>
      <c r="AD173" s="24">
        <f>Graph_Oil!AD79</f>
        <v>1623.7241735963526</v>
      </c>
      <c r="AE173" s="24">
        <f>Graph_Oil!AE79</f>
        <v>1636.7557572886597</v>
      </c>
      <c r="AF173" s="24">
        <f>Graph_Oil!AF79</f>
        <v>1649.8919290485037</v>
      </c>
      <c r="AG173" s="24">
        <f>Graph_Oil!AG79</f>
        <v>1663.1335282722412</v>
      </c>
      <c r="AH173" s="24">
        <f>Graph_Oil!AH79</f>
        <v>1676.4814010930033</v>
      </c>
      <c r="AI173" s="24">
        <f>Graph_Oil!AI79</f>
        <v>1689.9364004347638</v>
      </c>
      <c r="AJ173" s="24">
        <f>Graph_Oil!AJ79</f>
        <v>1703.4993860668396</v>
      </c>
      <c r="AK173" s="24">
        <f>Graph_Oil!AK79</f>
        <v>1717.1712246588311</v>
      </c>
      <c r="AL173" s="24">
        <f>Graph_Oil!AL79</f>
        <v>1730.9527898359997</v>
      </c>
      <c r="AN173" s="106">
        <f>ROW()</f>
        <v>173</v>
      </c>
    </row>
    <row r="174" spans="2:40" ht="13.9" customHeight="1" x14ac:dyDescent="0.2">
      <c r="B174" s="42" t="s">
        <v>5</v>
      </c>
      <c r="I174" s="24">
        <f>Graph_Oil!I80</f>
        <v>5709.9609841418023</v>
      </c>
      <c r="J174" s="24">
        <f>Graph_Oil!J80</f>
        <v>5700.4280748215979</v>
      </c>
      <c r="K174" s="24">
        <f>Graph_Oil!K80</f>
        <v>5690.8951655013961</v>
      </c>
      <c r="L174" s="24">
        <f>Graph_Oil!L80</f>
        <v>5580.1826801131119</v>
      </c>
      <c r="M174" s="24">
        <f>Graph_Oil!M80</f>
        <v>5240.7310352828881</v>
      </c>
      <c r="N174" s="24">
        <f>Graph_Oil!N80</f>
        <v>5515.4957293780872</v>
      </c>
      <c r="O174" s="24">
        <f>Graph_Oil!O80</f>
        <v>5541.7317013079482</v>
      </c>
      <c r="P174" s="24">
        <f>Graph_Oil!P80</f>
        <v>5576.3353930394496</v>
      </c>
      <c r="Q174" s="24">
        <f>Graph_Oil!Q80</f>
        <v>5631.8732868324423</v>
      </c>
      <c r="R174" s="24">
        <f>Graph_Oil!R80</f>
        <v>5687.9643140777052</v>
      </c>
      <c r="S174" s="24">
        <f>Graph_Oil!S80</f>
        <v>5744.6139837456913</v>
      </c>
      <c r="T174" s="24">
        <f>Graph_Oil!T80</f>
        <v>5801.8278596738219</v>
      </c>
      <c r="U174" s="24">
        <f>Graph_Oil!U80</f>
        <v>5859.6115611129435</v>
      </c>
      <c r="V174" s="24">
        <f>Graph_Oil!V80</f>
        <v>5917.9707632792069</v>
      </c>
      <c r="W174" s="24">
        <f>Graph_Oil!W80</f>
        <v>5976.9111979114732</v>
      </c>
      <c r="X174" s="24">
        <f>Graph_Oil!X80</f>
        <v>6036.4386538342469</v>
      </c>
      <c r="Y174" s="24">
        <f>Graph_Oil!Y80</f>
        <v>6096.5589775262251</v>
      </c>
      <c r="Z174" s="24">
        <f>Graph_Oil!Z80</f>
        <v>6157.2780736945097</v>
      </c>
      <c r="AA174" s="24">
        <f>Graph_Oil!AA80</f>
        <v>6218.6019058545353</v>
      </c>
      <c r="AB174" s="24">
        <f>Graph_Oil!AB80</f>
        <v>6280.5364969157818</v>
      </c>
      <c r="AC174" s="24">
        <f>Graph_Oil!AC80</f>
        <v>6343.0879297733027</v>
      </c>
      <c r="AD174" s="24">
        <f>Graph_Oil!AD80</f>
        <v>6406.2623479051636</v>
      </c>
      <c r="AE174" s="24">
        <f>Graph_Oil!AE80</f>
        <v>6470.0659559758178</v>
      </c>
      <c r="AF174" s="24">
        <f>Graph_Oil!AF80</f>
        <v>6534.5050204454983</v>
      </c>
      <c r="AG174" s="24">
        <f>Graph_Oil!AG80</f>
        <v>6599.5858701856851</v>
      </c>
      <c r="AH174" s="24">
        <f>Graph_Oil!AH80</f>
        <v>6665.3148971006758</v>
      </c>
      <c r="AI174" s="24">
        <f>Graph_Oil!AI80</f>
        <v>6731.6985567553838</v>
      </c>
      <c r="AJ174" s="24">
        <f>Graph_Oil!AJ80</f>
        <v>6798.7433690093576</v>
      </c>
      <c r="AK174" s="24">
        <f>Graph_Oil!AK80</f>
        <v>6866.4559186571378</v>
      </c>
      <c r="AL174" s="24">
        <f>Graph_Oil!AL80</f>
        <v>6934.8428560749726</v>
      </c>
      <c r="AN174" s="106">
        <f>ROW()</f>
        <v>174</v>
      </c>
    </row>
    <row r="175" spans="2:40" ht="13.9" customHeight="1" x14ac:dyDescent="0.2">
      <c r="M175" s="84"/>
      <c r="AN175" s="106">
        <f>ROW()</f>
        <v>175</v>
      </c>
    </row>
    <row r="176" spans="2:40" ht="13.9" customHeight="1" x14ac:dyDescent="0.2">
      <c r="B176" s="9" t="s">
        <v>642</v>
      </c>
      <c r="M176" s="84"/>
      <c r="AN176" s="106">
        <f>ROW()</f>
        <v>176</v>
      </c>
    </row>
    <row r="177" spans="2:40" ht="13.9" customHeight="1" x14ac:dyDescent="0.2">
      <c r="M177" s="84"/>
      <c r="AN177" s="106">
        <f>ROW()</f>
        <v>177</v>
      </c>
    </row>
    <row r="178" spans="2:40" ht="13.9" customHeight="1" x14ac:dyDescent="0.2">
      <c r="B178" s="9" t="s">
        <v>638</v>
      </c>
      <c r="I178" s="27">
        <f t="shared" ref="I178:AL178" si="24">SUM(I179:I183)</f>
        <v>20275.414164397465</v>
      </c>
      <c r="J178" s="27">
        <f t="shared" si="24"/>
        <v>20310.541796050304</v>
      </c>
      <c r="K178" s="27">
        <f t="shared" si="24"/>
        <v>20345.669427703146</v>
      </c>
      <c r="L178" s="27">
        <f t="shared" si="24"/>
        <v>19501.139827015551</v>
      </c>
      <c r="M178" s="27">
        <f t="shared" si="24"/>
        <v>18645.204131471633</v>
      </c>
      <c r="N178" s="27">
        <f t="shared" si="24"/>
        <v>19165.946661645201</v>
      </c>
      <c r="O178" s="27">
        <f t="shared" si="24"/>
        <v>19079.198832002687</v>
      </c>
      <c r="P178" s="27">
        <f t="shared" si="24"/>
        <v>18873.29146760044</v>
      </c>
      <c r="Q178" s="27">
        <f t="shared" si="24"/>
        <v>18885.373471396342</v>
      </c>
      <c r="R178" s="27">
        <f t="shared" si="24"/>
        <v>18879.854481580951</v>
      </c>
      <c r="S178" s="27">
        <f t="shared" si="24"/>
        <v>18856.121309647417</v>
      </c>
      <c r="T178" s="27">
        <f t="shared" si="24"/>
        <v>18813.566427560894</v>
      </c>
      <c r="U178" s="27">
        <f t="shared" si="24"/>
        <v>18751.59123948518</v>
      </c>
      <c r="V178" s="27">
        <f t="shared" si="24"/>
        <v>18669.610094205556</v>
      </c>
      <c r="W178" s="27">
        <f t="shared" si="24"/>
        <v>18567.055125412913</v>
      </c>
      <c r="X178" s="27">
        <f t="shared" si="24"/>
        <v>18443.381999249035</v>
      </c>
      <c r="Y178" s="27">
        <f t="shared" si="24"/>
        <v>18298.076635424808</v>
      </c>
      <c r="Z178" s="27">
        <f t="shared" si="24"/>
        <v>18224.34392117316</v>
      </c>
      <c r="AA178" s="27">
        <f t="shared" si="24"/>
        <v>18141.175423123292</v>
      </c>
      <c r="AB178" s="27">
        <f t="shared" si="24"/>
        <v>18047.948986825031</v>
      </c>
      <c r="AC178" s="27">
        <f t="shared" si="24"/>
        <v>17944.805225134838</v>
      </c>
      <c r="AD178" s="27">
        <f t="shared" si="24"/>
        <v>17831.891140881628</v>
      </c>
      <c r="AE178" s="27">
        <f t="shared" si="24"/>
        <v>17774.535845905462</v>
      </c>
      <c r="AF178" s="27">
        <f t="shared" si="24"/>
        <v>17713.513492821014</v>
      </c>
      <c r="AG178" s="27">
        <f t="shared" si="24"/>
        <v>17649.426973098416</v>
      </c>
      <c r="AH178" s="27">
        <f t="shared" si="24"/>
        <v>17582.907053764651</v>
      </c>
      <c r="AI178" s="27">
        <f t="shared" si="24"/>
        <v>17514.61046744241</v>
      </c>
      <c r="AJ178" s="27">
        <f t="shared" si="24"/>
        <v>17445.217971547296</v>
      </c>
      <c r="AK178" s="27">
        <f t="shared" si="24"/>
        <v>17375.432411107671</v>
      </c>
      <c r="AL178" s="27">
        <f t="shared" si="24"/>
        <v>17305.976821346976</v>
      </c>
      <c r="AN178" s="106">
        <f>ROW()</f>
        <v>178</v>
      </c>
    </row>
    <row r="179" spans="2:40" ht="13.9" customHeight="1" x14ac:dyDescent="0.2">
      <c r="B179" s="42" t="s">
        <v>4</v>
      </c>
      <c r="I179" s="24">
        <f>Graph_Oil!I99</f>
        <v>185.38857706155244</v>
      </c>
      <c r="J179" s="24">
        <f>Graph_Oil!J99</f>
        <v>185.80707010093678</v>
      </c>
      <c r="K179" s="24">
        <f>Graph_Oil!K99</f>
        <v>186.22556314032104</v>
      </c>
      <c r="L179" s="24">
        <f>Graph_Oil!L99</f>
        <v>182.19420817377525</v>
      </c>
      <c r="M179" s="24">
        <f>Graph_Oil!M99</f>
        <v>166.3145089912673</v>
      </c>
      <c r="N179" s="24">
        <f>Graph_Oil!N99</f>
        <v>174.42950169011098</v>
      </c>
      <c r="O179" s="24">
        <f>Graph_Oil!O99</f>
        <v>174.99538339370176</v>
      </c>
      <c r="P179" s="24">
        <f>Graph_Oil!P99</f>
        <v>169.54222507746186</v>
      </c>
      <c r="Q179" s="24">
        <f>Graph_Oil!Q99</f>
        <v>169.45896434536405</v>
      </c>
      <c r="R179" s="24">
        <f>Graph_Oil!R99</f>
        <v>169.25721385071029</v>
      </c>
      <c r="S179" s="24">
        <f>Graph_Oil!S99</f>
        <v>168.9270839296417</v>
      </c>
      <c r="T179" s="24">
        <f>Graph_Oil!T99</f>
        <v>168.45822375665568</v>
      </c>
      <c r="U179" s="24">
        <f>Graph_Oil!U99</f>
        <v>167.8398624014703</v>
      </c>
      <c r="V179" s="24">
        <f>Graph_Oil!V99</f>
        <v>167.06086520604313</v>
      </c>
      <c r="W179" s="24">
        <f>Graph_Oil!W99</f>
        <v>166.10980765274908</v>
      </c>
      <c r="X179" s="24">
        <f>Graph_Oil!X99</f>
        <v>164.97506890581633</v>
      </c>
      <c r="Y179" s="24">
        <f>Graph_Oil!Y99</f>
        <v>163.64494713395115</v>
      </c>
      <c r="Z179" s="24">
        <f>Graph_Oil!Z99</f>
        <v>162.79695651995937</v>
      </c>
      <c r="AA179" s="24">
        <f>Graph_Oil!AA99</f>
        <v>161.7770934526088</v>
      </c>
      <c r="AB179" s="24">
        <f>Graph_Oil!AB99</f>
        <v>160.57450719831201</v>
      </c>
      <c r="AC179" s="24">
        <f>Graph_Oil!AC99</f>
        <v>159.18539444771469</v>
      </c>
      <c r="AD179" s="24">
        <f>Graph_Oil!AD99</f>
        <v>157.60587378876571</v>
      </c>
      <c r="AE179" s="24">
        <f>Graph_Oil!AE99</f>
        <v>157.67353140325125</v>
      </c>
      <c r="AF179" s="24">
        <f>Graph_Oil!AF99</f>
        <v>157.70279910612672</v>
      </c>
      <c r="AG179" s="24">
        <f>Graph_Oil!AG99</f>
        <v>157.69950339267359</v>
      </c>
      <c r="AH179" s="24">
        <f>Graph_Oil!AH99</f>
        <v>157.66974728362945</v>
      </c>
      <c r="AI179" s="24">
        <f>Graph_Oil!AI99</f>
        <v>157.61987998487513</v>
      </c>
      <c r="AJ179" s="24">
        <f>Graph_Oil!AJ99</f>
        <v>157.55646152193015</v>
      </c>
      <c r="AK179" s="24">
        <f>Graph_Oil!AK99</f>
        <v>157.4862217881178</v>
      </c>
      <c r="AL179" s="24">
        <f>Graph_Oil!AL99</f>
        <v>157.41601336765274</v>
      </c>
      <c r="AN179" s="106">
        <f>ROW()</f>
        <v>179</v>
      </c>
    </row>
    <row r="180" spans="2:40" ht="13.9" customHeight="1" x14ac:dyDescent="0.2">
      <c r="B180" s="42" t="s">
        <v>450</v>
      </c>
      <c r="I180" s="24">
        <f>Graph_Oil!I100</f>
        <v>9437.1732221200018</v>
      </c>
      <c r="J180" s="24">
        <f>Graph_Oil!J100</f>
        <v>9413.2917209252682</v>
      </c>
      <c r="K180" s="24">
        <f>Graph_Oil!K100</f>
        <v>9389.4102197305328</v>
      </c>
      <c r="L180" s="24">
        <f>Graph_Oil!L100</f>
        <v>8977.8523491412416</v>
      </c>
      <c r="M180" s="24">
        <f>Graph_Oil!M100</f>
        <v>8985.8128495394849</v>
      </c>
      <c r="N180" s="24">
        <f>Graph_Oil!N100</f>
        <v>8991.114938257997</v>
      </c>
      <c r="O180" s="24">
        <f>Graph_Oil!O100</f>
        <v>8806.3356520863872</v>
      </c>
      <c r="P180" s="24">
        <f>Graph_Oil!P100</f>
        <v>8724.2138919284625</v>
      </c>
      <c r="Q180" s="24">
        <f>Graph_Oil!Q100</f>
        <v>8742.8481945000403</v>
      </c>
      <c r="R180" s="24">
        <f>Graph_Oil!R100</f>
        <v>8753.3771962377141</v>
      </c>
      <c r="S180" s="24">
        <f>Graph_Oil!S100</f>
        <v>8755.5808251773105</v>
      </c>
      <c r="T180" s="24">
        <f>Graph_Oil!T100</f>
        <v>8749.2463842011275</v>
      </c>
      <c r="U180" s="24">
        <f>Graph_Oil!U100</f>
        <v>8734.1693117109953</v>
      </c>
      <c r="V180" s="24">
        <f>Graph_Oil!V100</f>
        <v>8710.1540359081118</v>
      </c>
      <c r="W180" s="24">
        <f>Graph_Oil!W100</f>
        <v>8677.0149380429448</v>
      </c>
      <c r="X180" s="24">
        <f>Graph_Oil!X100</f>
        <v>8634.5774409470196</v>
      </c>
      <c r="Y180" s="24">
        <f>Graph_Oil!Y100</f>
        <v>8582.679239884752</v>
      </c>
      <c r="Z180" s="24">
        <f>Graph_Oil!Z100</f>
        <v>8542.5150796915586</v>
      </c>
      <c r="AA180" s="24">
        <f>Graph_Oil!AA100</f>
        <v>8499.2589252319376</v>
      </c>
      <c r="AB180" s="24">
        <f>Graph_Oil!AB100</f>
        <v>8452.680061642006</v>
      </c>
      <c r="AC180" s="24">
        <f>Graph_Oil!AC100</f>
        <v>8402.7151503511668</v>
      </c>
      <c r="AD180" s="24">
        <f>Graph_Oil!AD100</f>
        <v>8349.2926146756708</v>
      </c>
      <c r="AE180" s="24">
        <f>Graph_Oil!AE100</f>
        <v>8324.0407813265138</v>
      </c>
      <c r="AF180" s="24">
        <f>Graph_Oil!AF100</f>
        <v>8297.9829853011342</v>
      </c>
      <c r="AG180" s="24">
        <f>Graph_Oil!AG100</f>
        <v>8271.2529405905043</v>
      </c>
      <c r="AH180" s="24">
        <f>Graph_Oil!AH100</f>
        <v>8243.990877350041</v>
      </c>
      <c r="AI180" s="24">
        <f>Graph_Oil!AI100</f>
        <v>8216.3436183262766</v>
      </c>
      <c r="AJ180" s="24">
        <f>Graph_Oil!AJ100</f>
        <v>8188.4646438088002</v>
      </c>
      <c r="AK180" s="24">
        <f>Graph_Oil!AK100</f>
        <v>8160.5141428338866</v>
      </c>
      <c r="AL180" s="24">
        <f>Graph_Oil!AL100</f>
        <v>8132.6590480845298</v>
      </c>
      <c r="AN180" s="106">
        <f>ROW()</f>
        <v>180</v>
      </c>
    </row>
    <row r="181" spans="2:40" ht="13.9" customHeight="1" x14ac:dyDescent="0.2">
      <c r="B181" s="42" t="s">
        <v>296</v>
      </c>
      <c r="I181" s="24">
        <f>Graph_Oil!I101</f>
        <v>3339.7079167664097</v>
      </c>
      <c r="J181" s="24">
        <f>Graph_Oil!J101</f>
        <v>3430.3251114399377</v>
      </c>
      <c r="K181" s="24">
        <f>Graph_Oil!K101</f>
        <v>3520.9423061134657</v>
      </c>
      <c r="L181" s="24">
        <f>Graph_Oil!L101</f>
        <v>3286.554367947308</v>
      </c>
      <c r="M181" s="24">
        <f>Graph_Oil!M101</f>
        <v>2917.0411430241602</v>
      </c>
      <c r="N181" s="24">
        <f>Graph_Oil!N101</f>
        <v>3039.7308714843034</v>
      </c>
      <c r="O181" s="24">
        <f>Graph_Oil!O101</f>
        <v>3108.7910675985377</v>
      </c>
      <c r="P181" s="24">
        <f>Graph_Oil!P101</f>
        <v>3060.6051997591326</v>
      </c>
      <c r="Q181" s="24">
        <f>Graph_Oil!Q101</f>
        <v>3048.8546225330251</v>
      </c>
      <c r="R181" s="24">
        <f>Graph_Oil!R101</f>
        <v>3033.9086284237173</v>
      </c>
      <c r="S181" s="24">
        <f>Graph_Oil!S101</f>
        <v>3015.7497480515681</v>
      </c>
      <c r="T181" s="24">
        <f>Graph_Oil!T101</f>
        <v>2994.3669162138394</v>
      </c>
      <c r="U181" s="24">
        <f>Graph_Oil!U101</f>
        <v>2969.7556574358277</v>
      </c>
      <c r="V181" s="24">
        <f>Graph_Oil!V101</f>
        <v>2941.9182817213232</v>
      </c>
      <c r="W181" s="24">
        <f>Graph_Oil!W101</f>
        <v>2910.864093327501</v>
      </c>
      <c r="X181" s="24">
        <f>Graph_Oil!X101</f>
        <v>2876.6096153549288</v>
      </c>
      <c r="Y181" s="24">
        <f>Graph_Oil!Y101</f>
        <v>2839.1788328160974</v>
      </c>
      <c r="Z181" s="24">
        <f>Graph_Oil!Z101</f>
        <v>2822.968074940683</v>
      </c>
      <c r="AA181" s="24">
        <f>Graph_Oil!AA101</f>
        <v>2805.7824383000889</v>
      </c>
      <c r="AB181" s="24">
        <f>Graph_Oil!AB101</f>
        <v>2787.5513498687596</v>
      </c>
      <c r="AC181" s="24">
        <f>Graph_Oil!AC101</f>
        <v>2768.2562244633486</v>
      </c>
      <c r="AD181" s="24">
        <f>Graph_Oil!AD101</f>
        <v>2747.8756427110243</v>
      </c>
      <c r="AE181" s="24">
        <f>Graph_Oil!AE101</f>
        <v>2736.8104783123326</v>
      </c>
      <c r="AF181" s="24">
        <f>Graph_Oil!AF101</f>
        <v>2725.513751659681</v>
      </c>
      <c r="AG181" s="24">
        <f>Graph_Oil!AG101</f>
        <v>2714.0284257274079</v>
      </c>
      <c r="AH181" s="24">
        <f>Graph_Oil!AH101</f>
        <v>2702.3991750438199</v>
      </c>
      <c r="AI181" s="24">
        <f>Graph_Oil!AI101</f>
        <v>2690.6723832215785</v>
      </c>
      <c r="AJ181" s="24">
        <f>Graph_Oil!AJ101</f>
        <v>2678.8961358076845</v>
      </c>
      <c r="AK181" s="24">
        <f>Graph_Oil!AK101</f>
        <v>2667.1202077150742</v>
      </c>
      <c r="AL181" s="24">
        <f>Graph_Oil!AL101</f>
        <v>2655.3960444074419</v>
      </c>
      <c r="AN181" s="106">
        <f>ROW()</f>
        <v>181</v>
      </c>
    </row>
    <row r="182" spans="2:40" ht="13.9" customHeight="1" x14ac:dyDescent="0.2">
      <c r="B182" s="42" t="s">
        <v>31</v>
      </c>
      <c r="I182" s="24">
        <f>Graph_Oil!I102</f>
        <v>1603.1834643076966</v>
      </c>
      <c r="J182" s="24">
        <f>Graph_Oil!J102</f>
        <v>1580.6898187625629</v>
      </c>
      <c r="K182" s="24">
        <f>Graph_Oil!K102</f>
        <v>1558.1961732174293</v>
      </c>
      <c r="L182" s="24">
        <f>Graph_Oil!L102</f>
        <v>1474.356221640114</v>
      </c>
      <c r="M182" s="24">
        <f>Graph_Oil!M102</f>
        <v>1335.3045946338343</v>
      </c>
      <c r="N182" s="24">
        <f>Graph_Oil!N102</f>
        <v>1445.1756208347035</v>
      </c>
      <c r="O182" s="24">
        <f>Graph_Oil!O102</f>
        <v>1447.3450276161107</v>
      </c>
      <c r="P182" s="24">
        <f>Graph_Oil!P102</f>
        <v>1434.0827714745183</v>
      </c>
      <c r="Q182" s="24">
        <f>Graph_Oil!Q102</f>
        <v>1428.3973760769804</v>
      </c>
      <c r="R182" s="24">
        <f>Graph_Oil!R102</f>
        <v>1420.5668979403292</v>
      </c>
      <c r="S182" s="24">
        <f>Graph_Oil!S102</f>
        <v>1410.5910929526947</v>
      </c>
      <c r="T182" s="24">
        <f>Graph_Oil!T102</f>
        <v>1398.477916673645</v>
      </c>
      <c r="U182" s="24">
        <f>Graph_Oil!U102</f>
        <v>1384.2437001085336</v>
      </c>
      <c r="V182" s="24">
        <f>Graph_Oil!V102</f>
        <v>1367.9132960452062</v>
      </c>
      <c r="W182" s="24">
        <f>Graph_Oil!W102</f>
        <v>1349.5201943943048</v>
      </c>
      <c r="X182" s="24">
        <f>Graph_Oil!X102</f>
        <v>1329.1066047477541</v>
      </c>
      <c r="Y182" s="24">
        <f>Graph_Oil!Y102</f>
        <v>1306.7235040874145</v>
      </c>
      <c r="Z182" s="24">
        <f>Graph_Oil!Z102</f>
        <v>1295.6860286163169</v>
      </c>
      <c r="AA182" s="24">
        <f>Graph_Oil!AA102</f>
        <v>1284.3041917000801</v>
      </c>
      <c r="AB182" s="24">
        <f>Graph_Oil!AB102</f>
        <v>1272.5600826169111</v>
      </c>
      <c r="AC182" s="24">
        <f>Graph_Oil!AC102</f>
        <v>1260.4884237501715</v>
      </c>
      <c r="AD182" s="24">
        <f>Graph_Oil!AD102</f>
        <v>1248.124561386282</v>
      </c>
      <c r="AE182" s="24">
        <f>Graph_Oil!AE102</f>
        <v>1236.4440196111868</v>
      </c>
      <c r="AF182" s="24">
        <f>Graph_Oil!AF102</f>
        <v>1224.6176781999127</v>
      </c>
      <c r="AG182" s="24">
        <f>Graph_Oil!AG102</f>
        <v>1212.6881278462365</v>
      </c>
      <c r="AH182" s="24">
        <f>Graph_Oil!AH102</f>
        <v>1200.6987330376833</v>
      </c>
      <c r="AI182" s="24">
        <f>Graph_Oil!AI102</f>
        <v>1188.6935792524387</v>
      </c>
      <c r="AJ182" s="24">
        <f>Graph_Oil!AJ102</f>
        <v>1176.7174253297935</v>
      </c>
      <c r="AK182" s="24">
        <f>Graph_Oil!AK102</f>
        <v>1164.8156619935523</v>
      </c>
      <c r="AL182" s="24">
        <f>Graph_Oil!AL102</f>
        <v>1153.0342775753611</v>
      </c>
      <c r="AN182" s="106">
        <f>ROW()</f>
        <v>182</v>
      </c>
    </row>
    <row r="183" spans="2:40" ht="13.9" customHeight="1" x14ac:dyDescent="0.2">
      <c r="B183" s="42" t="s">
        <v>5</v>
      </c>
      <c r="I183" s="24">
        <f>Graph_Oil!I103</f>
        <v>5709.9609841418023</v>
      </c>
      <c r="J183" s="24">
        <f>Graph_Oil!J103</f>
        <v>5700.4280748215979</v>
      </c>
      <c r="K183" s="24">
        <f>Graph_Oil!K103</f>
        <v>5690.8951655013961</v>
      </c>
      <c r="L183" s="24">
        <f>Graph_Oil!L103</f>
        <v>5580.1826801131119</v>
      </c>
      <c r="M183" s="24">
        <f>Graph_Oil!M103</f>
        <v>5240.7310352828881</v>
      </c>
      <c r="N183" s="24">
        <f>Graph_Oil!N103</f>
        <v>5515.4957293780872</v>
      </c>
      <c r="O183" s="24">
        <f>Graph_Oil!O103</f>
        <v>5541.7317013079482</v>
      </c>
      <c r="P183" s="24">
        <f>Graph_Oil!P103</f>
        <v>5484.8473793608646</v>
      </c>
      <c r="Q183" s="24">
        <f>Graph_Oil!Q103</f>
        <v>5495.8143139409322</v>
      </c>
      <c r="R183" s="24">
        <f>Graph_Oil!R103</f>
        <v>5502.7445451284821</v>
      </c>
      <c r="S183" s="24">
        <f>Graph_Oil!S103</f>
        <v>5505.2725595362017</v>
      </c>
      <c r="T183" s="24">
        <f>Graph_Oil!T103</f>
        <v>5503.0169867156274</v>
      </c>
      <c r="U183" s="24">
        <f>Graph_Oil!U103</f>
        <v>5495.5827078283555</v>
      </c>
      <c r="V183" s="24">
        <f>Graph_Oil!V103</f>
        <v>5482.5636153248706</v>
      </c>
      <c r="W183" s="24">
        <f>Graph_Oil!W103</f>
        <v>5463.5460919954157</v>
      </c>
      <c r="X183" s="24">
        <f>Graph_Oil!X103</f>
        <v>5438.1132692935162</v>
      </c>
      <c r="Y183" s="24">
        <f>Graph_Oil!Y103</f>
        <v>5405.8501115025947</v>
      </c>
      <c r="Z183" s="24">
        <f>Graph_Oil!Z103</f>
        <v>5400.3777814046425</v>
      </c>
      <c r="AA183" s="24">
        <f>Graph_Oil!AA103</f>
        <v>5390.0527744385754</v>
      </c>
      <c r="AB183" s="24">
        <f>Graph_Oil!AB103</f>
        <v>5374.5829854990388</v>
      </c>
      <c r="AC183" s="24">
        <f>Graph_Oil!AC103</f>
        <v>5354.160032122435</v>
      </c>
      <c r="AD183" s="24">
        <f>Graph_Oil!AD103</f>
        <v>5328.9924483198856</v>
      </c>
      <c r="AE183" s="24">
        <f>Graph_Oil!AE103</f>
        <v>5319.5670352521774</v>
      </c>
      <c r="AF183" s="24">
        <f>Graph_Oil!AF103</f>
        <v>5307.6962785541609</v>
      </c>
      <c r="AG183" s="24">
        <f>Graph_Oil!AG103</f>
        <v>5293.75797554159</v>
      </c>
      <c r="AH183" s="24">
        <f>Graph_Oil!AH103</f>
        <v>5278.1485210494775</v>
      </c>
      <c r="AI183" s="24">
        <f>Graph_Oil!AI103</f>
        <v>5261.281006657242</v>
      </c>
      <c r="AJ183" s="24">
        <f>Graph_Oil!AJ103</f>
        <v>5243.5833050790852</v>
      </c>
      <c r="AK183" s="24">
        <f>Graph_Oil!AK103</f>
        <v>5225.4961767770419</v>
      </c>
      <c r="AL183" s="24">
        <f>Graph_Oil!AL103</f>
        <v>5207.4714379119914</v>
      </c>
      <c r="AN183" s="106">
        <f>ROW()</f>
        <v>183</v>
      </c>
    </row>
    <row r="184" spans="2:40" ht="13.9" customHeight="1" x14ac:dyDescent="0.2">
      <c r="M184" s="84"/>
      <c r="AN184" s="106"/>
    </row>
    <row r="185" spans="2:40" ht="13.9" customHeight="1" x14ac:dyDescent="0.2">
      <c r="M185" s="84"/>
      <c r="AN185" s="106"/>
    </row>
    <row r="186" spans="2:40" ht="13.9" customHeight="1" x14ac:dyDescent="0.2">
      <c r="M186" s="84"/>
      <c r="AN186" s="106"/>
    </row>
    <row r="187" spans="2:40" ht="13.9" customHeight="1" x14ac:dyDescent="0.2">
      <c r="M187" s="84"/>
      <c r="AN187" s="106"/>
    </row>
    <row r="188" spans="2:40" ht="13.9" customHeight="1" x14ac:dyDescent="0.2">
      <c r="M188" s="84"/>
      <c r="AN188" s="106"/>
    </row>
    <row r="189" spans="2:40" ht="13.9" customHeight="1" x14ac:dyDescent="0.2">
      <c r="M189" s="84"/>
      <c r="AN189" s="106"/>
    </row>
    <row r="190" spans="2:40" ht="13.9" customHeight="1" x14ac:dyDescent="0.2">
      <c r="M190" s="84"/>
      <c r="AN190" s="106"/>
    </row>
    <row r="191" spans="2:40" ht="13.9" customHeight="1" x14ac:dyDescent="0.2">
      <c r="M191" s="84"/>
      <c r="AN191" s="106"/>
    </row>
    <row r="192" spans="2:40" ht="13.9" customHeight="1" x14ac:dyDescent="0.2">
      <c r="M192" s="84"/>
      <c r="AN192" s="106"/>
    </row>
    <row r="193" spans="13:40" ht="13.9" customHeight="1" x14ac:dyDescent="0.2">
      <c r="M193" s="84"/>
      <c r="AN193" s="106"/>
    </row>
    <row r="194" spans="13:40" ht="13.9" customHeight="1" x14ac:dyDescent="0.2">
      <c r="M194" s="84"/>
      <c r="AN194" s="106"/>
    </row>
    <row r="195" spans="13:40" ht="13.9" customHeight="1" x14ac:dyDescent="0.2">
      <c r="M195" s="84"/>
      <c r="AN195" s="106"/>
    </row>
    <row r="196" spans="13:40" ht="13.9" customHeight="1" x14ac:dyDescent="0.2">
      <c r="M196" s="84"/>
      <c r="AN196" s="106"/>
    </row>
    <row r="197" spans="13:40" ht="13.9" customHeight="1" x14ac:dyDescent="0.2">
      <c r="M197" s="84"/>
    </row>
    <row r="198" spans="13:40" ht="13.9" customHeight="1" x14ac:dyDescent="0.2">
      <c r="M198" s="84"/>
    </row>
    <row r="199" spans="13:40" ht="13.9" customHeight="1" x14ac:dyDescent="0.2">
      <c r="M199" s="84"/>
    </row>
    <row r="200" spans="13:40" ht="13.9" customHeight="1" x14ac:dyDescent="0.2">
      <c r="M200" s="84"/>
    </row>
    <row r="201" spans="13:40" ht="13.9" customHeight="1" x14ac:dyDescent="0.2">
      <c r="M201" s="84"/>
    </row>
    <row r="202" spans="13:40" ht="13.9" customHeight="1" x14ac:dyDescent="0.2">
      <c r="M202" s="84"/>
    </row>
    <row r="203" spans="13:40" ht="13.9" customHeight="1" x14ac:dyDescent="0.2">
      <c r="M203" s="84"/>
    </row>
    <row r="204" spans="13:40" ht="13.9" customHeight="1" x14ac:dyDescent="0.2">
      <c r="M204" s="84"/>
    </row>
    <row r="205" spans="13:40" ht="13.9" customHeight="1" x14ac:dyDescent="0.2">
      <c r="M205" s="84"/>
    </row>
    <row r="206" spans="13:40" ht="13.9" customHeight="1" x14ac:dyDescent="0.2">
      <c r="M206" s="84"/>
    </row>
    <row r="207" spans="13:40" ht="13.9" customHeight="1" x14ac:dyDescent="0.2">
      <c r="M207" s="84"/>
    </row>
    <row r="208" spans="13:40" ht="13.9" customHeight="1" x14ac:dyDescent="0.2">
      <c r="M208" s="84"/>
    </row>
    <row r="209" spans="13:13" ht="13.9" customHeight="1" x14ac:dyDescent="0.2">
      <c r="M209" s="84"/>
    </row>
    <row r="210" spans="13:13" ht="13.9" customHeight="1" x14ac:dyDescent="0.2">
      <c r="M210" s="84"/>
    </row>
    <row r="211" spans="13:13" ht="13.9" customHeight="1" x14ac:dyDescent="0.2">
      <c r="M211" s="84"/>
    </row>
    <row r="212" spans="13:13" ht="13.9" customHeight="1" x14ac:dyDescent="0.2">
      <c r="M212" s="84"/>
    </row>
    <row r="213" spans="13:13" ht="13.9" customHeight="1" x14ac:dyDescent="0.2">
      <c r="M213" s="84"/>
    </row>
    <row r="214" spans="13:13" ht="13.9" customHeight="1" x14ac:dyDescent="0.2">
      <c r="M214" s="84"/>
    </row>
    <row r="215" spans="13:13" ht="13.9" customHeight="1" x14ac:dyDescent="0.2">
      <c r="M215" s="84"/>
    </row>
    <row r="216" spans="13:13" ht="13.9" customHeight="1" x14ac:dyDescent="0.2">
      <c r="M216" s="84"/>
    </row>
    <row r="217" spans="13:13" ht="13.9" customHeight="1" x14ac:dyDescent="0.2">
      <c r="M217" s="84"/>
    </row>
    <row r="218" spans="13:13" ht="13.9" customHeight="1" x14ac:dyDescent="0.2">
      <c r="M218" s="84"/>
    </row>
    <row r="219" spans="13:13" ht="13.9" customHeight="1" x14ac:dyDescent="0.2">
      <c r="M219" s="84"/>
    </row>
    <row r="220" spans="13:13" ht="13.9" customHeight="1" x14ac:dyDescent="0.2">
      <c r="M220" s="84"/>
    </row>
    <row r="221" spans="13:13" ht="13.9" customHeight="1" x14ac:dyDescent="0.2">
      <c r="M221" s="84"/>
    </row>
    <row r="222" spans="13:13" ht="13.9" customHeight="1" x14ac:dyDescent="0.2">
      <c r="M222" s="84"/>
    </row>
    <row r="223" spans="13:13" ht="13.9" customHeight="1" x14ac:dyDescent="0.2">
      <c r="M223" s="84"/>
    </row>
    <row r="224" spans="13:13" ht="13.9" customHeight="1" x14ac:dyDescent="0.2">
      <c r="M224" s="84"/>
    </row>
    <row r="225" spans="13:13" ht="13.9" customHeight="1" x14ac:dyDescent="0.2">
      <c r="M225" s="84"/>
    </row>
    <row r="226" spans="13:13" ht="13.9" customHeight="1" x14ac:dyDescent="0.2">
      <c r="M226" s="84"/>
    </row>
    <row r="227" spans="13:13" ht="13.9" customHeight="1" x14ac:dyDescent="0.2">
      <c r="M227" s="84"/>
    </row>
    <row r="228" spans="13:13" ht="13.9" customHeight="1" x14ac:dyDescent="0.2">
      <c r="M228" s="84"/>
    </row>
    <row r="229" spans="13:13" ht="13.9" customHeight="1" x14ac:dyDescent="0.2">
      <c r="M229" s="84"/>
    </row>
    <row r="230" spans="13:13" ht="13.9" customHeight="1" x14ac:dyDescent="0.2">
      <c r="M230" s="84"/>
    </row>
    <row r="231" spans="13:13" ht="13.9" customHeight="1" x14ac:dyDescent="0.2">
      <c r="M231" s="84"/>
    </row>
    <row r="232" spans="13:13" ht="13.9" customHeight="1" x14ac:dyDescent="0.2">
      <c r="M232" s="84"/>
    </row>
    <row r="233" spans="13:13" ht="13.9" customHeight="1" x14ac:dyDescent="0.2">
      <c r="M233" s="84"/>
    </row>
    <row r="234" spans="13:13" ht="13.9" customHeight="1" x14ac:dyDescent="0.2">
      <c r="M234" s="84"/>
    </row>
    <row r="235" spans="13:13" ht="13.9" customHeight="1" x14ac:dyDescent="0.2">
      <c r="M235" s="84"/>
    </row>
    <row r="236" spans="13:13" ht="13.9" customHeight="1" x14ac:dyDescent="0.2">
      <c r="M236" s="84"/>
    </row>
    <row r="237" spans="13:13" ht="13.9" customHeight="1" x14ac:dyDescent="0.2">
      <c r="M237" s="84"/>
    </row>
    <row r="238" spans="13:13" ht="13.9" customHeight="1" x14ac:dyDescent="0.2">
      <c r="M238" s="84"/>
    </row>
    <row r="239" spans="13:13" ht="13.9" customHeight="1" x14ac:dyDescent="0.2">
      <c r="M239" s="84"/>
    </row>
    <row r="240" spans="13:13" ht="13.9" customHeight="1" x14ac:dyDescent="0.2">
      <c r="M240" s="84"/>
    </row>
    <row r="241" spans="13:13" ht="13.9" customHeight="1" x14ac:dyDescent="0.2">
      <c r="M241" s="84"/>
    </row>
    <row r="242" spans="13:13" ht="13.9" customHeight="1" x14ac:dyDescent="0.2">
      <c r="M242" s="84"/>
    </row>
    <row r="243" spans="13:13" ht="13.9" customHeight="1" x14ac:dyDescent="0.2">
      <c r="M243" s="84"/>
    </row>
    <row r="244" spans="13:13" ht="13.9" customHeight="1" x14ac:dyDescent="0.2">
      <c r="M244" s="84"/>
    </row>
    <row r="245" spans="13:13" ht="13.9" customHeight="1" x14ac:dyDescent="0.2">
      <c r="M245" s="84"/>
    </row>
    <row r="246" spans="13:13" ht="13.9" customHeight="1" x14ac:dyDescent="0.2">
      <c r="M246" s="84"/>
    </row>
    <row r="247" spans="13:13" ht="13.9" customHeight="1" x14ac:dyDescent="0.2">
      <c r="M247" s="84"/>
    </row>
    <row r="248" spans="13:13" ht="13.9" customHeight="1" x14ac:dyDescent="0.2">
      <c r="M248" s="84"/>
    </row>
    <row r="249" spans="13:13" ht="13.9" customHeight="1" x14ac:dyDescent="0.2">
      <c r="M249" s="84"/>
    </row>
    <row r="250" spans="13:13" ht="13.9" customHeight="1" x14ac:dyDescent="0.2">
      <c r="M250" s="84"/>
    </row>
    <row r="251" spans="13:13" ht="13.9" customHeight="1" x14ac:dyDescent="0.2">
      <c r="M251" s="84"/>
    </row>
    <row r="252" spans="13:13" ht="13.9" customHeight="1" x14ac:dyDescent="0.2">
      <c r="M252" s="84"/>
    </row>
    <row r="253" spans="13:13" ht="13.9" customHeight="1" x14ac:dyDescent="0.2">
      <c r="M253" s="84"/>
    </row>
    <row r="254" spans="13:13" ht="13.9" customHeight="1" x14ac:dyDescent="0.2">
      <c r="M254" s="84"/>
    </row>
    <row r="255" spans="13:13" ht="13.9" customHeight="1" x14ac:dyDescent="0.2">
      <c r="M255" s="84"/>
    </row>
    <row r="256" spans="13:13" ht="13.9" customHeight="1" x14ac:dyDescent="0.2">
      <c r="M256" s="84"/>
    </row>
    <row r="257" spans="13:13" ht="13.9" customHeight="1" x14ac:dyDescent="0.2">
      <c r="M257" s="84"/>
    </row>
    <row r="258" spans="13:13" ht="13.9" customHeight="1" x14ac:dyDescent="0.2">
      <c r="M258" s="84"/>
    </row>
    <row r="259" spans="13:13" ht="13.9" customHeight="1" x14ac:dyDescent="0.2">
      <c r="M259" s="84"/>
    </row>
    <row r="260" spans="13:13" ht="13.9" customHeight="1" x14ac:dyDescent="0.2">
      <c r="M260" s="84"/>
    </row>
    <row r="261" spans="13:13" ht="13.9" customHeight="1" x14ac:dyDescent="0.2">
      <c r="M261" s="84"/>
    </row>
    <row r="262" spans="13:13" ht="13.9" customHeight="1" x14ac:dyDescent="0.2">
      <c r="M262" s="84"/>
    </row>
    <row r="263" spans="13:13" ht="13.9" customHeight="1" x14ac:dyDescent="0.2">
      <c r="M263" s="84"/>
    </row>
    <row r="264" spans="13:13" ht="13.9" customHeight="1" x14ac:dyDescent="0.2">
      <c r="M264" s="84"/>
    </row>
    <row r="265" spans="13:13" ht="13.9" customHeight="1" x14ac:dyDescent="0.2">
      <c r="M265" s="84"/>
    </row>
    <row r="266" spans="13:13" ht="13.9" customHeight="1" x14ac:dyDescent="0.2">
      <c r="M266" s="84"/>
    </row>
    <row r="267" spans="13:13" ht="13.9" customHeight="1" x14ac:dyDescent="0.2">
      <c r="M267" s="84"/>
    </row>
    <row r="268" spans="13:13" ht="13.9" customHeight="1" x14ac:dyDescent="0.2">
      <c r="M268" s="84"/>
    </row>
    <row r="269" spans="13:13" ht="13.9" customHeight="1" x14ac:dyDescent="0.2">
      <c r="M269" s="84"/>
    </row>
    <row r="270" spans="13:13" ht="13.9" customHeight="1" x14ac:dyDescent="0.2">
      <c r="M270" s="84"/>
    </row>
    <row r="271" spans="13:13" ht="13.9" customHeight="1" x14ac:dyDescent="0.2">
      <c r="M271" s="84"/>
    </row>
    <row r="272" spans="13:13" ht="13.9" customHeight="1" x14ac:dyDescent="0.2">
      <c r="M272" s="84"/>
    </row>
    <row r="273" spans="13:13" ht="13.9" customHeight="1" x14ac:dyDescent="0.2">
      <c r="M273" s="84"/>
    </row>
    <row r="274" spans="13:13" ht="13.9" customHeight="1" x14ac:dyDescent="0.2">
      <c r="M274" s="84"/>
    </row>
    <row r="275" spans="13:13" ht="13.9" customHeight="1" x14ac:dyDescent="0.2">
      <c r="M275" s="84"/>
    </row>
    <row r="276" spans="13:13" ht="13.9" customHeight="1" x14ac:dyDescent="0.2">
      <c r="M276" s="84"/>
    </row>
    <row r="277" spans="13:13" ht="13.9" customHeight="1" x14ac:dyDescent="0.2">
      <c r="M277" s="84"/>
    </row>
    <row r="278" spans="13:13" ht="13.9" customHeight="1" x14ac:dyDescent="0.2">
      <c r="M278" s="84"/>
    </row>
    <row r="279" spans="13:13" ht="13.9" customHeight="1" x14ac:dyDescent="0.2">
      <c r="M279" s="84"/>
    </row>
    <row r="280" spans="13:13" ht="13.9" customHeight="1" x14ac:dyDescent="0.2">
      <c r="M280" s="84"/>
    </row>
    <row r="281" spans="13:13" ht="13.9" customHeight="1" x14ac:dyDescent="0.2">
      <c r="M281" s="84"/>
    </row>
    <row r="282" spans="13:13" ht="13.9" customHeight="1" x14ac:dyDescent="0.2">
      <c r="M282" s="84"/>
    </row>
    <row r="283" spans="13:13" ht="13.9" customHeight="1" x14ac:dyDescent="0.2">
      <c r="M283" s="84"/>
    </row>
    <row r="284" spans="13:13" ht="13.9" customHeight="1" x14ac:dyDescent="0.2">
      <c r="M284" s="84"/>
    </row>
    <row r="285" spans="13:13" ht="13.9" customHeight="1" x14ac:dyDescent="0.2">
      <c r="M285" s="84"/>
    </row>
    <row r="286" spans="13:13" ht="13.9" customHeight="1" x14ac:dyDescent="0.2">
      <c r="M286" s="84"/>
    </row>
    <row r="287" spans="13:13" ht="13.9" customHeight="1" x14ac:dyDescent="0.2">
      <c r="M287" s="84"/>
    </row>
    <row r="288" spans="13:13" ht="13.9" customHeight="1" x14ac:dyDescent="0.2">
      <c r="M288" s="84"/>
    </row>
    <row r="289" spans="13:13" ht="13.9" customHeight="1" x14ac:dyDescent="0.2">
      <c r="M289" s="84"/>
    </row>
    <row r="290" spans="13:13" ht="13.9" customHeight="1" x14ac:dyDescent="0.2">
      <c r="M290" s="84"/>
    </row>
    <row r="291" spans="13:13" ht="13.9" customHeight="1" x14ac:dyDescent="0.2">
      <c r="M291" s="84"/>
    </row>
    <row r="292" spans="13:13" ht="13.9" customHeight="1" x14ac:dyDescent="0.2">
      <c r="M292" s="84"/>
    </row>
    <row r="293" spans="13:13" ht="13.9" customHeight="1" x14ac:dyDescent="0.2">
      <c r="M293" s="84"/>
    </row>
    <row r="294" spans="13:13" ht="13.9" customHeight="1" x14ac:dyDescent="0.2">
      <c r="M294" s="84"/>
    </row>
    <row r="295" spans="13:13" ht="13.9" customHeight="1" x14ac:dyDescent="0.2">
      <c r="M295" s="84"/>
    </row>
    <row r="296" spans="13:13" ht="13.9" customHeight="1" x14ac:dyDescent="0.2">
      <c r="M296" s="84"/>
    </row>
    <row r="297" spans="13:13" ht="13.9" customHeight="1" x14ac:dyDescent="0.2">
      <c r="M297" s="84"/>
    </row>
    <row r="298" spans="13:13" ht="13.9" customHeight="1" x14ac:dyDescent="0.2">
      <c r="M298" s="84"/>
    </row>
    <row r="299" spans="13:13" ht="13.9" customHeight="1" x14ac:dyDescent="0.2">
      <c r="M299" s="84"/>
    </row>
    <row r="300" spans="13:13" ht="13.9" customHeight="1" x14ac:dyDescent="0.2">
      <c r="M300" s="84"/>
    </row>
    <row r="301" spans="13:13" ht="13.9" customHeight="1" x14ac:dyDescent="0.2">
      <c r="M301" s="84"/>
    </row>
    <row r="302" spans="13:13" ht="13.9" customHeight="1" x14ac:dyDescent="0.2">
      <c r="M302" s="84"/>
    </row>
    <row r="303" spans="13:13" ht="13.9" customHeight="1" x14ac:dyDescent="0.2">
      <c r="M303" s="84"/>
    </row>
    <row r="304" spans="13:13" ht="13.9" customHeight="1" x14ac:dyDescent="0.2">
      <c r="M304" s="84"/>
    </row>
    <row r="305" spans="13:13" ht="13.9" customHeight="1" x14ac:dyDescent="0.2">
      <c r="M305" s="84"/>
    </row>
    <row r="306" spans="13:13" ht="13.9" customHeight="1" x14ac:dyDescent="0.2">
      <c r="M306" s="84"/>
    </row>
    <row r="307" spans="13:13" ht="13.9" customHeight="1" x14ac:dyDescent="0.2">
      <c r="M307" s="84"/>
    </row>
    <row r="308" spans="13:13" ht="13.9" customHeight="1" x14ac:dyDescent="0.2">
      <c r="M308" s="84"/>
    </row>
    <row r="309" spans="13:13" ht="13.9" customHeight="1" x14ac:dyDescent="0.2">
      <c r="M309" s="84"/>
    </row>
    <row r="310" spans="13:13" ht="13.9" customHeight="1" x14ac:dyDescent="0.2">
      <c r="M310" s="84"/>
    </row>
    <row r="311" spans="13:13" ht="13.9" customHeight="1" x14ac:dyDescent="0.2">
      <c r="M311" s="84"/>
    </row>
    <row r="312" spans="13:13" ht="13.9" customHeight="1" x14ac:dyDescent="0.2">
      <c r="M312" s="84"/>
    </row>
    <row r="313" spans="13:13" ht="13.9" customHeight="1" x14ac:dyDescent="0.2">
      <c r="M313" s="84"/>
    </row>
    <row r="314" spans="13:13" ht="13.9" customHeight="1" x14ac:dyDescent="0.2">
      <c r="M314" s="84"/>
    </row>
    <row r="315" spans="13:13" ht="13.9" customHeight="1" x14ac:dyDescent="0.2">
      <c r="M315" s="84"/>
    </row>
    <row r="316" spans="13:13" ht="13.9" customHeight="1" x14ac:dyDescent="0.2">
      <c r="M316" s="84"/>
    </row>
    <row r="317" spans="13:13" ht="13.9" customHeight="1" x14ac:dyDescent="0.2">
      <c r="M317" s="84"/>
    </row>
    <row r="318" spans="13:13" ht="13.9" customHeight="1" x14ac:dyDescent="0.2">
      <c r="M318" s="84"/>
    </row>
    <row r="319" spans="13:13" ht="13.9" customHeight="1" x14ac:dyDescent="0.2">
      <c r="M319" s="84"/>
    </row>
    <row r="320" spans="13:13" ht="13.9" customHeight="1" x14ac:dyDescent="0.2">
      <c r="M320" s="84"/>
    </row>
    <row r="321" spans="13:13" ht="13.9" customHeight="1" x14ac:dyDescent="0.2">
      <c r="M321" s="84"/>
    </row>
    <row r="322" spans="13:13" ht="13.9" customHeight="1" x14ac:dyDescent="0.2">
      <c r="M322" s="84"/>
    </row>
    <row r="323" spans="13:13" ht="13.9" customHeight="1" x14ac:dyDescent="0.2">
      <c r="M323" s="84"/>
    </row>
    <row r="324" spans="13:13" ht="13.9" customHeight="1" x14ac:dyDescent="0.2">
      <c r="M324" s="84"/>
    </row>
    <row r="325" spans="13:13" ht="13.9" customHeight="1" x14ac:dyDescent="0.2">
      <c r="M325" s="84"/>
    </row>
    <row r="326" spans="13:13" ht="13.9" customHeight="1" x14ac:dyDescent="0.2">
      <c r="M326" s="84"/>
    </row>
    <row r="327" spans="13:13" ht="13.9" customHeight="1" x14ac:dyDescent="0.2">
      <c r="M327" s="84"/>
    </row>
    <row r="328" spans="13:13" ht="13.9" customHeight="1" x14ac:dyDescent="0.2">
      <c r="M328" s="84"/>
    </row>
    <row r="329" spans="13:13" ht="13.9" customHeight="1" x14ac:dyDescent="0.2">
      <c r="M329" s="84"/>
    </row>
    <row r="330" spans="13:13" ht="13.9" customHeight="1" x14ac:dyDescent="0.2">
      <c r="M330" s="84"/>
    </row>
    <row r="331" spans="13:13" ht="13.9" customHeight="1" x14ac:dyDescent="0.2">
      <c r="M331" s="84"/>
    </row>
    <row r="332" spans="13:13" ht="13.9" customHeight="1" x14ac:dyDescent="0.2">
      <c r="M332" s="84"/>
    </row>
    <row r="333" spans="13:13" ht="13.9" customHeight="1" x14ac:dyDescent="0.2">
      <c r="M333" s="84"/>
    </row>
    <row r="334" spans="13:13" ht="13.9" customHeight="1" x14ac:dyDescent="0.2">
      <c r="M334" s="84"/>
    </row>
    <row r="335" spans="13:13" ht="13.9" customHeight="1" x14ac:dyDescent="0.2">
      <c r="M335" s="84"/>
    </row>
    <row r="336" spans="13:13" ht="13.9" customHeight="1" x14ac:dyDescent="0.2">
      <c r="M336" s="84"/>
    </row>
    <row r="337" spans="13:13" ht="13.9" customHeight="1" x14ac:dyDescent="0.2">
      <c r="M337" s="84"/>
    </row>
    <row r="338" spans="13:13" ht="13.9" customHeight="1" x14ac:dyDescent="0.2">
      <c r="M338" s="84"/>
    </row>
    <row r="339" spans="13:13" ht="13.9" customHeight="1" x14ac:dyDescent="0.2">
      <c r="M339" s="84"/>
    </row>
    <row r="340" spans="13:13" ht="13.9" customHeight="1" x14ac:dyDescent="0.2">
      <c r="M340" s="84"/>
    </row>
    <row r="341" spans="13:13" ht="13.9" customHeight="1" x14ac:dyDescent="0.2">
      <c r="M341" s="84"/>
    </row>
    <row r="342" spans="13:13" ht="13.9" customHeight="1" x14ac:dyDescent="0.2">
      <c r="M342" s="84"/>
    </row>
    <row r="343" spans="13:13" ht="13.9" customHeight="1" x14ac:dyDescent="0.2">
      <c r="M343" s="84"/>
    </row>
    <row r="344" spans="13:13" ht="13.9" customHeight="1" x14ac:dyDescent="0.2">
      <c r="M344" s="84"/>
    </row>
    <row r="345" spans="13:13" ht="13.9" customHeight="1" x14ac:dyDescent="0.2">
      <c r="M345" s="84"/>
    </row>
    <row r="346" spans="13:13" ht="13.9" customHeight="1" x14ac:dyDescent="0.2">
      <c r="M346" s="84"/>
    </row>
    <row r="347" spans="13:13" ht="13.9" customHeight="1" x14ac:dyDescent="0.2">
      <c r="M347" s="84"/>
    </row>
    <row r="348" spans="13:13" ht="13.9" customHeight="1" x14ac:dyDescent="0.2">
      <c r="M348" s="84"/>
    </row>
    <row r="349" spans="13:13" ht="13.9" customHeight="1" x14ac:dyDescent="0.2">
      <c r="M349" s="84"/>
    </row>
    <row r="350" spans="13:13" ht="13.9" customHeight="1" x14ac:dyDescent="0.2">
      <c r="M350" s="84"/>
    </row>
    <row r="351" spans="13:13" ht="13.9" customHeight="1" x14ac:dyDescent="0.2">
      <c r="M351" s="84"/>
    </row>
    <row r="352" spans="13:13" ht="13.9" customHeight="1" x14ac:dyDescent="0.2">
      <c r="M352" s="84"/>
    </row>
    <row r="353" spans="13:13" ht="13.9" customHeight="1" x14ac:dyDescent="0.2">
      <c r="M353" s="84"/>
    </row>
    <row r="354" spans="13:13" ht="13.9" customHeight="1" x14ac:dyDescent="0.2">
      <c r="M354" s="84"/>
    </row>
    <row r="355" spans="13:13" ht="13.9" customHeight="1" x14ac:dyDescent="0.2">
      <c r="M355" s="84"/>
    </row>
    <row r="356" spans="13:13" ht="13.9" customHeight="1" x14ac:dyDescent="0.2">
      <c r="M356" s="84"/>
    </row>
    <row r="357" spans="13:13" ht="13.9" customHeight="1" x14ac:dyDescent="0.2">
      <c r="M357" s="84"/>
    </row>
    <row r="358" spans="13:13" ht="13.9" customHeight="1" x14ac:dyDescent="0.2">
      <c r="M358" s="84"/>
    </row>
    <row r="359" spans="13:13" ht="13.9" customHeight="1" x14ac:dyDescent="0.2">
      <c r="M359" s="84"/>
    </row>
    <row r="360" spans="13:13" ht="13.9" customHeight="1" x14ac:dyDescent="0.2">
      <c r="M360" s="84"/>
    </row>
    <row r="361" spans="13:13" ht="13.9" customHeight="1" x14ac:dyDescent="0.2">
      <c r="M361" s="84"/>
    </row>
    <row r="362" spans="13:13" ht="13.9" customHeight="1" x14ac:dyDescent="0.2">
      <c r="M362" s="84"/>
    </row>
    <row r="363" spans="13:13" ht="13.9" customHeight="1" x14ac:dyDescent="0.2">
      <c r="M363" s="84"/>
    </row>
    <row r="364" spans="13:13" ht="13.9" customHeight="1" x14ac:dyDescent="0.2">
      <c r="M364" s="84"/>
    </row>
    <row r="365" spans="13:13" ht="13.9" customHeight="1" x14ac:dyDescent="0.2">
      <c r="M365" s="84"/>
    </row>
    <row r="366" spans="13:13" ht="13.9" customHeight="1" x14ac:dyDescent="0.2">
      <c r="M366" s="84"/>
    </row>
    <row r="367" spans="13:13" ht="13.9" customHeight="1" x14ac:dyDescent="0.2">
      <c r="M367" s="84"/>
    </row>
    <row r="368" spans="13:13" ht="13.9" customHeight="1" x14ac:dyDescent="0.2">
      <c r="M368" s="84"/>
    </row>
    <row r="369" spans="13:13" ht="13.9" customHeight="1" x14ac:dyDescent="0.2">
      <c r="M369" s="84"/>
    </row>
    <row r="370" spans="13:13" ht="13.9" customHeight="1" x14ac:dyDescent="0.2">
      <c r="M370" s="84"/>
    </row>
    <row r="371" spans="13:13" ht="13.9" customHeight="1" x14ac:dyDescent="0.2">
      <c r="M371" s="84"/>
    </row>
    <row r="372" spans="13:13" ht="13.9" customHeight="1" x14ac:dyDescent="0.2">
      <c r="M372" s="84"/>
    </row>
    <row r="373" spans="13:13" ht="13.9" customHeight="1" x14ac:dyDescent="0.2">
      <c r="M373" s="84"/>
    </row>
    <row r="374" spans="13:13" ht="13.9" customHeight="1" x14ac:dyDescent="0.2">
      <c r="M374" s="84"/>
    </row>
    <row r="375" spans="13:13" ht="13.9" customHeight="1" x14ac:dyDescent="0.2">
      <c r="M375" s="84"/>
    </row>
    <row r="376" spans="13:13" ht="13.9" customHeight="1" x14ac:dyDescent="0.2">
      <c r="M376" s="84"/>
    </row>
    <row r="377" spans="13:13" ht="13.9" customHeight="1" x14ac:dyDescent="0.2">
      <c r="M377" s="84"/>
    </row>
    <row r="378" spans="13:13" ht="13.9" customHeight="1" x14ac:dyDescent="0.2">
      <c r="M378" s="84"/>
    </row>
    <row r="379" spans="13:13" ht="13.9" customHeight="1" x14ac:dyDescent="0.2">
      <c r="M379" s="84"/>
    </row>
    <row r="380" spans="13:13" ht="13.9" customHeight="1" x14ac:dyDescent="0.2">
      <c r="M380" s="84"/>
    </row>
    <row r="381" spans="13:13" ht="13.9" customHeight="1" x14ac:dyDescent="0.2">
      <c r="M381" s="84"/>
    </row>
    <row r="382" spans="13:13" ht="13.9" customHeight="1" x14ac:dyDescent="0.2">
      <c r="M382" s="84"/>
    </row>
    <row r="383" spans="13:13" ht="13.9" customHeight="1" x14ac:dyDescent="0.2">
      <c r="M383" s="84"/>
    </row>
    <row r="384" spans="13:13" ht="13.9" customHeight="1" x14ac:dyDescent="0.2">
      <c r="M384" s="84"/>
    </row>
    <row r="385" spans="13:13" ht="13.9" customHeight="1" x14ac:dyDescent="0.2">
      <c r="M385" s="84"/>
    </row>
    <row r="386" spans="13:13" ht="13.9" customHeight="1" x14ac:dyDescent="0.2">
      <c r="M386" s="84"/>
    </row>
    <row r="387" spans="13:13" ht="13.9" customHeight="1" x14ac:dyDescent="0.2">
      <c r="M387" s="84"/>
    </row>
    <row r="388" spans="13:13" ht="13.9" customHeight="1" x14ac:dyDescent="0.2">
      <c r="M388" s="84"/>
    </row>
    <row r="389" spans="13:13" ht="13.9" customHeight="1" x14ac:dyDescent="0.2">
      <c r="M389" s="84"/>
    </row>
    <row r="390" spans="13:13" ht="13.9" customHeight="1" x14ac:dyDescent="0.2">
      <c r="M390" s="84"/>
    </row>
    <row r="391" spans="13:13" ht="13.9" customHeight="1" x14ac:dyDescent="0.2">
      <c r="M391" s="84"/>
    </row>
    <row r="392" spans="13:13" ht="13.9" customHeight="1" x14ac:dyDescent="0.2">
      <c r="M392" s="84"/>
    </row>
    <row r="393" spans="13:13" ht="13.9" customHeight="1" x14ac:dyDescent="0.2">
      <c r="M393" s="84"/>
    </row>
    <row r="394" spans="13:13" ht="13.9" customHeight="1" x14ac:dyDescent="0.2">
      <c r="M394" s="84"/>
    </row>
    <row r="395" spans="13:13" ht="13.9" customHeight="1" x14ac:dyDescent="0.2">
      <c r="M395" s="84"/>
    </row>
    <row r="396" spans="13:13" ht="13.9" customHeight="1" x14ac:dyDescent="0.2">
      <c r="M396" s="84"/>
    </row>
    <row r="397" spans="13:13" ht="13.9" customHeight="1" x14ac:dyDescent="0.2">
      <c r="M397" s="84"/>
    </row>
    <row r="398" spans="13:13" ht="13.9" customHeight="1" x14ac:dyDescent="0.2">
      <c r="M398" s="84"/>
    </row>
    <row r="399" spans="13:13" ht="13.9" customHeight="1" x14ac:dyDescent="0.2">
      <c r="M399" s="84"/>
    </row>
    <row r="400" spans="13:13" ht="13.9" customHeight="1" x14ac:dyDescent="0.2">
      <c r="M400" s="84"/>
    </row>
    <row r="401" spans="13:13" ht="13.9" customHeight="1" x14ac:dyDescent="0.2">
      <c r="M401" s="84"/>
    </row>
    <row r="402" spans="13:13" ht="13.9" customHeight="1" x14ac:dyDescent="0.2">
      <c r="M402" s="84"/>
    </row>
    <row r="403" spans="13:13" ht="13.9" customHeight="1" x14ac:dyDescent="0.2">
      <c r="M403" s="84"/>
    </row>
    <row r="404" spans="13:13" ht="13.9" customHeight="1" x14ac:dyDescent="0.2">
      <c r="M404" s="84"/>
    </row>
    <row r="405" spans="13:13" ht="13.9" customHeight="1" x14ac:dyDescent="0.2">
      <c r="M405" s="84"/>
    </row>
    <row r="406" spans="13:13" ht="13.9" customHeight="1" x14ac:dyDescent="0.2">
      <c r="M406" s="84"/>
    </row>
    <row r="407" spans="13:13" ht="13.9" customHeight="1" x14ac:dyDescent="0.2">
      <c r="M407" s="84"/>
    </row>
    <row r="408" spans="13:13" ht="13.9" customHeight="1" x14ac:dyDescent="0.2">
      <c r="M408" s="84"/>
    </row>
    <row r="409" spans="13:13" ht="13.9" customHeight="1" x14ac:dyDescent="0.2">
      <c r="M409" s="84"/>
    </row>
    <row r="410" spans="13:13" ht="13.9" customHeight="1" x14ac:dyDescent="0.2">
      <c r="M410" s="84"/>
    </row>
    <row r="411" spans="13:13" ht="13.9" customHeight="1" x14ac:dyDescent="0.2">
      <c r="M411" s="84"/>
    </row>
    <row r="412" spans="13:13" ht="13.9" customHeight="1" x14ac:dyDescent="0.2">
      <c r="M412" s="84"/>
    </row>
    <row r="413" spans="13:13" ht="13.9" customHeight="1" x14ac:dyDescent="0.2">
      <c r="M413" s="84"/>
    </row>
    <row r="414" spans="13:13" ht="13.9" customHeight="1" x14ac:dyDescent="0.2">
      <c r="M414" s="84"/>
    </row>
    <row r="415" spans="13:13" ht="13.9" customHeight="1" x14ac:dyDescent="0.2">
      <c r="M415" s="84"/>
    </row>
    <row r="416" spans="13:13" ht="13.9" customHeight="1" x14ac:dyDescent="0.2">
      <c r="M416" s="84"/>
    </row>
    <row r="417" spans="13:13" ht="13.9" customHeight="1" x14ac:dyDescent="0.2">
      <c r="M417" s="84"/>
    </row>
    <row r="418" spans="13:13" ht="13.9" customHeight="1" x14ac:dyDescent="0.2">
      <c r="M418" s="84"/>
    </row>
    <row r="419" spans="13:13" ht="13.9" customHeight="1" x14ac:dyDescent="0.2">
      <c r="M419" s="84"/>
    </row>
    <row r="420" spans="13:13" ht="13.9" customHeight="1" x14ac:dyDescent="0.2">
      <c r="M420" s="84"/>
    </row>
    <row r="421" spans="13:13" ht="13.9" customHeight="1" x14ac:dyDescent="0.2">
      <c r="M421" s="84"/>
    </row>
    <row r="422" spans="13:13" ht="13.9" customHeight="1" x14ac:dyDescent="0.2">
      <c r="M422" s="84"/>
    </row>
    <row r="423" spans="13:13" ht="13.9" customHeight="1" x14ac:dyDescent="0.2">
      <c r="M423" s="84"/>
    </row>
    <row r="424" spans="13:13" ht="13.9" customHeight="1" x14ac:dyDescent="0.2">
      <c r="M424" s="84"/>
    </row>
    <row r="425" spans="13:13" ht="13.9" customHeight="1" x14ac:dyDescent="0.2">
      <c r="M425" s="84"/>
    </row>
    <row r="426" spans="13:13" ht="13.9" customHeight="1" x14ac:dyDescent="0.2">
      <c r="M426" s="84"/>
    </row>
    <row r="427" spans="13:13" ht="13.9" customHeight="1" x14ac:dyDescent="0.2">
      <c r="M427" s="84"/>
    </row>
    <row r="428" spans="13:13" ht="13.9" customHeight="1" x14ac:dyDescent="0.2">
      <c r="M428" s="84"/>
    </row>
    <row r="429" spans="13:13" ht="13.9" customHeight="1" x14ac:dyDescent="0.2">
      <c r="M429" s="84"/>
    </row>
    <row r="430" spans="13:13" ht="13.9" customHeight="1" x14ac:dyDescent="0.2">
      <c r="M430" s="84"/>
    </row>
    <row r="431" spans="13:13" ht="13.9" customHeight="1" x14ac:dyDescent="0.2">
      <c r="M431" s="84"/>
    </row>
    <row r="432" spans="13:13" ht="13.9" customHeight="1" x14ac:dyDescent="0.2">
      <c r="M432" s="84"/>
    </row>
    <row r="433" spans="13:13" ht="13.9" customHeight="1" x14ac:dyDescent="0.2">
      <c r="M433" s="84"/>
    </row>
    <row r="434" spans="13:13" ht="13.9" customHeight="1" x14ac:dyDescent="0.2">
      <c r="M434" s="84"/>
    </row>
    <row r="435" spans="13:13" ht="13.9" customHeight="1" x14ac:dyDescent="0.2">
      <c r="M435" s="84"/>
    </row>
    <row r="436" spans="13:13" ht="13.9" customHeight="1" x14ac:dyDescent="0.2">
      <c r="M436" s="84"/>
    </row>
    <row r="437" spans="13:13" ht="13.9" customHeight="1" x14ac:dyDescent="0.2">
      <c r="M437" s="84"/>
    </row>
    <row r="438" spans="13:13" ht="13.9" customHeight="1" x14ac:dyDescent="0.2">
      <c r="M438" s="84"/>
    </row>
    <row r="439" spans="13:13" ht="13.9" customHeight="1" x14ac:dyDescent="0.2">
      <c r="M439" s="84"/>
    </row>
    <row r="440" spans="13:13" ht="13.9" customHeight="1" x14ac:dyDescent="0.2">
      <c r="M440" s="84"/>
    </row>
    <row r="441" spans="13:13" ht="13.9" customHeight="1" x14ac:dyDescent="0.2">
      <c r="M441" s="84"/>
    </row>
    <row r="442" spans="13:13" ht="13.9" customHeight="1" x14ac:dyDescent="0.2">
      <c r="M442" s="84"/>
    </row>
    <row r="443" spans="13:13" ht="13.9" customHeight="1" x14ac:dyDescent="0.2">
      <c r="M443" s="84"/>
    </row>
    <row r="444" spans="13:13" ht="13.9" customHeight="1" x14ac:dyDescent="0.2">
      <c r="M444" s="84"/>
    </row>
    <row r="445" spans="13:13" ht="13.9" customHeight="1" x14ac:dyDescent="0.2">
      <c r="M445" s="84"/>
    </row>
    <row r="446" spans="13:13" ht="13.9" customHeight="1" x14ac:dyDescent="0.2">
      <c r="M446" s="84"/>
    </row>
    <row r="447" spans="13:13" ht="13.9" customHeight="1" x14ac:dyDescent="0.2">
      <c r="M447" s="84"/>
    </row>
    <row r="448" spans="13:13" ht="13.9" customHeight="1" x14ac:dyDescent="0.2">
      <c r="M448" s="84"/>
    </row>
    <row r="449" spans="13:13" ht="13.9" customHeight="1" x14ac:dyDescent="0.2">
      <c r="M449" s="84"/>
    </row>
    <row r="450" spans="13:13" ht="13.9" customHeight="1" x14ac:dyDescent="0.2">
      <c r="M450" s="84"/>
    </row>
    <row r="451" spans="13:13" ht="13.9" customHeight="1" x14ac:dyDescent="0.2">
      <c r="M451" s="84"/>
    </row>
    <row r="452" spans="13:13" ht="13.9" customHeight="1" x14ac:dyDescent="0.2">
      <c r="M452" s="84"/>
    </row>
    <row r="453" spans="13:13" ht="13.9" customHeight="1" x14ac:dyDescent="0.2">
      <c r="M453" s="84"/>
    </row>
    <row r="454" spans="13:13" ht="13.9" customHeight="1" x14ac:dyDescent="0.2">
      <c r="M454" s="84"/>
    </row>
    <row r="455" spans="13:13" ht="13.9" customHeight="1" x14ac:dyDescent="0.2">
      <c r="M455" s="84"/>
    </row>
    <row r="456" spans="13:13" ht="13.9" customHeight="1" x14ac:dyDescent="0.2">
      <c r="M456" s="84"/>
    </row>
    <row r="457" spans="13:13" ht="13.9" customHeight="1" x14ac:dyDescent="0.2">
      <c r="M457" s="84"/>
    </row>
    <row r="458" spans="13:13" ht="13.9" customHeight="1" x14ac:dyDescent="0.2">
      <c r="M458" s="84"/>
    </row>
    <row r="459" spans="13:13" ht="13.9" customHeight="1" x14ac:dyDescent="0.2">
      <c r="M459" s="84"/>
    </row>
    <row r="460" spans="13:13" ht="13.9" customHeight="1" x14ac:dyDescent="0.2">
      <c r="M460" s="84"/>
    </row>
    <row r="461" spans="13:13" ht="13.9" customHeight="1" x14ac:dyDescent="0.2">
      <c r="M461" s="84"/>
    </row>
    <row r="462" spans="13:13" ht="13.9" customHeight="1" x14ac:dyDescent="0.2">
      <c r="M462" s="84"/>
    </row>
    <row r="463" spans="13:13" ht="13.9" customHeight="1" x14ac:dyDescent="0.2">
      <c r="M463" s="84"/>
    </row>
    <row r="464" spans="13:13" ht="13.9" customHeight="1" x14ac:dyDescent="0.2">
      <c r="M464" s="84"/>
    </row>
    <row r="465" spans="13:13" ht="13.9" customHeight="1" x14ac:dyDescent="0.2">
      <c r="M465" s="84"/>
    </row>
    <row r="466" spans="13:13" ht="13.9" customHeight="1" x14ac:dyDescent="0.2">
      <c r="M466" s="84"/>
    </row>
    <row r="467" spans="13:13" ht="13.9" customHeight="1" x14ac:dyDescent="0.2">
      <c r="M467" s="84"/>
    </row>
    <row r="468" spans="13:13" ht="13.9" customHeight="1" x14ac:dyDescent="0.2">
      <c r="M468" s="84"/>
    </row>
    <row r="469" spans="13:13" ht="13.9" customHeight="1" x14ac:dyDescent="0.2">
      <c r="M469" s="84"/>
    </row>
    <row r="470" spans="13:13" ht="13.9" customHeight="1" x14ac:dyDescent="0.2">
      <c r="M470" s="84"/>
    </row>
    <row r="471" spans="13:13" ht="13.9" customHeight="1" x14ac:dyDescent="0.2">
      <c r="M471" s="84"/>
    </row>
    <row r="472" spans="13:13" ht="13.9" customHeight="1" x14ac:dyDescent="0.2">
      <c r="M472" s="84"/>
    </row>
    <row r="473" spans="13:13" ht="13.9" customHeight="1" x14ac:dyDescent="0.2">
      <c r="M473" s="84"/>
    </row>
    <row r="474" spans="13:13" ht="13.9" customHeight="1" x14ac:dyDescent="0.2">
      <c r="M474" s="84"/>
    </row>
    <row r="475" spans="13:13" ht="13.9" customHeight="1" x14ac:dyDescent="0.2">
      <c r="M475" s="84"/>
    </row>
    <row r="476" spans="13:13" ht="13.9" customHeight="1" x14ac:dyDescent="0.2">
      <c r="M476" s="84"/>
    </row>
    <row r="477" spans="13:13" ht="13.9" customHeight="1" x14ac:dyDescent="0.2">
      <c r="M477" s="84"/>
    </row>
    <row r="478" spans="13:13" ht="13.9" customHeight="1" x14ac:dyDescent="0.2">
      <c r="M478" s="84"/>
    </row>
    <row r="479" spans="13:13" ht="13.9" customHeight="1" x14ac:dyDescent="0.2">
      <c r="M479" s="84"/>
    </row>
    <row r="480" spans="13:13" ht="13.9" customHeight="1" x14ac:dyDescent="0.2">
      <c r="M480" s="84"/>
    </row>
    <row r="481" spans="13:13" ht="13.9" customHeight="1" x14ac:dyDescent="0.2">
      <c r="M481" s="84"/>
    </row>
    <row r="482" spans="13:13" ht="13.9" customHeight="1" x14ac:dyDescent="0.2">
      <c r="M482" s="84"/>
    </row>
    <row r="483" spans="13:13" ht="13.9" customHeight="1" x14ac:dyDescent="0.2">
      <c r="M483" s="84"/>
    </row>
    <row r="484" spans="13:13" ht="13.9" customHeight="1" x14ac:dyDescent="0.2">
      <c r="M484" s="84"/>
    </row>
    <row r="485" spans="13:13" ht="13.9" customHeight="1" x14ac:dyDescent="0.2">
      <c r="M485" s="84"/>
    </row>
    <row r="486" spans="13:13" ht="13.9" customHeight="1" x14ac:dyDescent="0.2">
      <c r="M486" s="84"/>
    </row>
    <row r="487" spans="13:13" ht="13.9" customHeight="1" x14ac:dyDescent="0.2">
      <c r="M487" s="84"/>
    </row>
    <row r="488" spans="13:13" ht="13.9" customHeight="1" x14ac:dyDescent="0.2">
      <c r="M488" s="84"/>
    </row>
    <row r="489" spans="13:13" ht="13.9" customHeight="1" x14ac:dyDescent="0.2">
      <c r="M489" s="84"/>
    </row>
    <row r="490" spans="13:13" ht="13.9" customHeight="1" x14ac:dyDescent="0.2">
      <c r="M490" s="84"/>
    </row>
    <row r="491" spans="13:13" ht="13.9" customHeight="1" x14ac:dyDescent="0.2">
      <c r="M491" s="84"/>
    </row>
    <row r="492" spans="13:13" ht="13.9" customHeight="1" x14ac:dyDescent="0.2">
      <c r="M492" s="84"/>
    </row>
    <row r="493" spans="13:13" ht="13.9" customHeight="1" x14ac:dyDescent="0.2">
      <c r="M493" s="84"/>
    </row>
    <row r="494" spans="13:13" ht="13.9" customHeight="1" x14ac:dyDescent="0.2">
      <c r="M494" s="84"/>
    </row>
    <row r="495" spans="13:13" ht="13.9" customHeight="1" x14ac:dyDescent="0.2">
      <c r="M495" s="84"/>
    </row>
    <row r="496" spans="13:13" ht="13.9" customHeight="1" x14ac:dyDescent="0.2">
      <c r="M496" s="84"/>
    </row>
    <row r="497" spans="13:13" ht="13.9" customHeight="1" x14ac:dyDescent="0.2">
      <c r="M497" s="84"/>
    </row>
    <row r="498" spans="13:13" ht="13.9" customHeight="1" x14ac:dyDescent="0.2">
      <c r="M498" s="84"/>
    </row>
    <row r="499" spans="13:13" ht="13.9" customHeight="1" x14ac:dyDescent="0.2">
      <c r="M499" s="84"/>
    </row>
    <row r="500" spans="13:13" ht="13.9" customHeight="1" x14ac:dyDescent="0.2">
      <c r="M500" s="84"/>
    </row>
    <row r="501" spans="13:13" ht="13.9" customHeight="1" x14ac:dyDescent="0.2">
      <c r="M501" s="84"/>
    </row>
    <row r="502" spans="13:13" ht="13.9" customHeight="1" x14ac:dyDescent="0.2">
      <c r="M502" s="84"/>
    </row>
    <row r="503" spans="13:13" ht="13.9" customHeight="1" x14ac:dyDescent="0.2">
      <c r="M503" s="84"/>
    </row>
    <row r="504" spans="13:13" ht="13.9" customHeight="1" x14ac:dyDescent="0.2">
      <c r="M504" s="84"/>
    </row>
    <row r="505" spans="13:13" ht="13.9" customHeight="1" x14ac:dyDescent="0.2">
      <c r="M505" s="84"/>
    </row>
    <row r="506" spans="13:13" ht="13.9" customHeight="1" x14ac:dyDescent="0.2">
      <c r="M506" s="84"/>
    </row>
    <row r="507" spans="13:13" ht="13.9" customHeight="1" x14ac:dyDescent="0.2">
      <c r="M507" s="84"/>
    </row>
    <row r="508" spans="13:13" ht="13.9" customHeight="1" x14ac:dyDescent="0.2">
      <c r="M508" s="84"/>
    </row>
    <row r="509" spans="13:13" ht="13.9" customHeight="1" x14ac:dyDescent="0.2">
      <c r="M509" s="84"/>
    </row>
    <row r="510" spans="13:13" ht="13.9" customHeight="1" x14ac:dyDescent="0.2">
      <c r="M510" s="84"/>
    </row>
    <row r="511" spans="13:13" ht="13.9" customHeight="1" x14ac:dyDescent="0.2">
      <c r="M511" s="84"/>
    </row>
    <row r="512" spans="13:13" ht="13.9" customHeight="1" x14ac:dyDescent="0.2">
      <c r="M512" s="84"/>
    </row>
    <row r="513" spans="13:13" ht="13.9" customHeight="1" x14ac:dyDescent="0.2">
      <c r="M513" s="84"/>
    </row>
    <row r="514" spans="13:13" ht="13.9" customHeight="1" x14ac:dyDescent="0.2">
      <c r="M514" s="84"/>
    </row>
    <row r="515" spans="13:13" ht="13.9" customHeight="1" x14ac:dyDescent="0.2">
      <c r="M515" s="84"/>
    </row>
    <row r="516" spans="13:13" ht="13.9" customHeight="1" x14ac:dyDescent="0.2">
      <c r="M516" s="84"/>
    </row>
    <row r="517" spans="13:13" ht="13.9" customHeight="1" x14ac:dyDescent="0.2">
      <c r="M517" s="84"/>
    </row>
    <row r="518" spans="13:13" ht="13.9" customHeight="1" x14ac:dyDescent="0.2">
      <c r="M518" s="84"/>
    </row>
    <row r="519" spans="13:13" ht="13.9" customHeight="1" x14ac:dyDescent="0.2">
      <c r="M519" s="84"/>
    </row>
    <row r="520" spans="13:13" ht="13.9" customHeight="1" x14ac:dyDescent="0.2">
      <c r="M520" s="84"/>
    </row>
    <row r="521" spans="13:13" ht="13.9" customHeight="1" x14ac:dyDescent="0.2">
      <c r="M521" s="84"/>
    </row>
    <row r="522" spans="13:13" ht="13.9" customHeight="1" x14ac:dyDescent="0.2">
      <c r="M522" s="84"/>
    </row>
    <row r="523" spans="13:13" ht="13.9" customHeight="1" x14ac:dyDescent="0.2">
      <c r="M523" s="84"/>
    </row>
    <row r="524" spans="13:13" ht="13.9" customHeight="1" x14ac:dyDescent="0.2">
      <c r="M524" s="84"/>
    </row>
    <row r="525" spans="13:13" ht="13.9" customHeight="1" x14ac:dyDescent="0.2">
      <c r="M525" s="84"/>
    </row>
    <row r="526" spans="13:13" ht="13.9" customHeight="1" x14ac:dyDescent="0.2">
      <c r="M526" s="84"/>
    </row>
    <row r="527" spans="13:13" ht="13.9" customHeight="1" x14ac:dyDescent="0.2">
      <c r="M527" s="84"/>
    </row>
    <row r="528" spans="13:13" ht="13.9" customHeight="1" x14ac:dyDescent="0.2">
      <c r="M528" s="84"/>
    </row>
    <row r="529" spans="13:13" ht="13.9" customHeight="1" x14ac:dyDescent="0.2">
      <c r="M529" s="84"/>
    </row>
    <row r="530" spans="13:13" ht="13.9" customHeight="1" x14ac:dyDescent="0.2">
      <c r="M530" s="84"/>
    </row>
    <row r="531" spans="13:13" ht="13.9" customHeight="1" x14ac:dyDescent="0.2">
      <c r="M531" s="84"/>
    </row>
    <row r="532" spans="13:13" ht="13.9" customHeight="1" x14ac:dyDescent="0.2">
      <c r="M532" s="84"/>
    </row>
    <row r="533" spans="13:13" ht="13.9" customHeight="1" x14ac:dyDescent="0.2">
      <c r="M533" s="84"/>
    </row>
    <row r="534" spans="13:13" ht="13.9" customHeight="1" x14ac:dyDescent="0.2">
      <c r="M534" s="84"/>
    </row>
    <row r="535" spans="13:13" ht="13.9" customHeight="1" x14ac:dyDescent="0.2">
      <c r="M535" s="84"/>
    </row>
    <row r="536" spans="13:13" ht="13.9" customHeight="1" x14ac:dyDescent="0.2">
      <c r="M536" s="84"/>
    </row>
    <row r="537" spans="13:13" ht="13.9" customHeight="1" x14ac:dyDescent="0.2">
      <c r="M537" s="84"/>
    </row>
    <row r="538" spans="13:13" ht="13.9" customHeight="1" x14ac:dyDescent="0.2">
      <c r="M538" s="84"/>
    </row>
    <row r="539" spans="13:13" ht="13.9" customHeight="1" x14ac:dyDescent="0.2">
      <c r="M539" s="84"/>
    </row>
    <row r="540" spans="13:13" ht="13.9" customHeight="1" x14ac:dyDescent="0.2">
      <c r="M540" s="84"/>
    </row>
    <row r="541" spans="13:13" ht="13.9" customHeight="1" x14ac:dyDescent="0.2">
      <c r="M541" s="84"/>
    </row>
    <row r="542" spans="13:13" ht="13.9" customHeight="1" x14ac:dyDescent="0.2">
      <c r="M542" s="84"/>
    </row>
    <row r="543" spans="13:13" ht="13.9" customHeight="1" x14ac:dyDescent="0.2">
      <c r="M543" s="84"/>
    </row>
    <row r="544" spans="13:13" ht="13.9" customHeight="1" x14ac:dyDescent="0.2">
      <c r="M544" s="84"/>
    </row>
    <row r="545" spans="13:13" ht="13.9" customHeight="1" x14ac:dyDescent="0.2">
      <c r="M545" s="84"/>
    </row>
    <row r="546" spans="13:13" ht="13.9" customHeight="1" x14ac:dyDescent="0.2">
      <c r="M546" s="84"/>
    </row>
    <row r="547" spans="13:13" ht="13.9" customHeight="1" x14ac:dyDescent="0.2">
      <c r="M547" s="84"/>
    </row>
    <row r="548" spans="13:13" ht="13.9" customHeight="1" x14ac:dyDescent="0.2">
      <c r="M548" s="84"/>
    </row>
    <row r="549" spans="13:13" ht="13.9" customHeight="1" x14ac:dyDescent="0.2">
      <c r="M549" s="84"/>
    </row>
    <row r="550" spans="13:13" ht="13.9" customHeight="1" x14ac:dyDescent="0.2">
      <c r="M550" s="84"/>
    </row>
    <row r="551" spans="13:13" ht="13.9" customHeight="1" x14ac:dyDescent="0.2">
      <c r="M551" s="84"/>
    </row>
    <row r="552" spans="13:13" ht="13.9" customHeight="1" x14ac:dyDescent="0.2">
      <c r="M552" s="84"/>
    </row>
    <row r="553" spans="13:13" ht="13.9" customHeight="1" x14ac:dyDescent="0.2">
      <c r="M553" s="84"/>
    </row>
    <row r="554" spans="13:13" ht="13.9" customHeight="1" x14ac:dyDescent="0.2">
      <c r="M554" s="84"/>
    </row>
    <row r="555" spans="13:13" ht="13.9" customHeight="1" x14ac:dyDescent="0.2">
      <c r="M555" s="84"/>
    </row>
    <row r="556" spans="13:13" ht="13.9" customHeight="1" x14ac:dyDescent="0.2">
      <c r="M556" s="84"/>
    </row>
    <row r="557" spans="13:13" ht="13.9" customHeight="1" x14ac:dyDescent="0.2">
      <c r="M557" s="84"/>
    </row>
    <row r="558" spans="13:13" ht="13.9" customHeight="1" x14ac:dyDescent="0.2">
      <c r="M558" s="84"/>
    </row>
    <row r="559" spans="13:13" ht="13.9" customHeight="1" x14ac:dyDescent="0.2">
      <c r="M559" s="84"/>
    </row>
    <row r="560" spans="13:13" ht="13.9" customHeight="1" x14ac:dyDescent="0.2">
      <c r="M560" s="84"/>
    </row>
    <row r="561" spans="13:13" ht="13.9" customHeight="1" x14ac:dyDescent="0.2">
      <c r="M561" s="84"/>
    </row>
    <row r="562" spans="13:13" ht="13.9" customHeight="1" x14ac:dyDescent="0.2">
      <c r="M562" s="84"/>
    </row>
    <row r="563" spans="13:13" ht="13.9" customHeight="1" x14ac:dyDescent="0.2">
      <c r="M563" s="84"/>
    </row>
    <row r="564" spans="13:13" ht="13.9" customHeight="1" x14ac:dyDescent="0.2">
      <c r="M564" s="84"/>
    </row>
    <row r="565" spans="13:13" ht="13.9" customHeight="1" x14ac:dyDescent="0.2">
      <c r="M565" s="84"/>
    </row>
    <row r="566" spans="13:13" ht="13.9" customHeight="1" x14ac:dyDescent="0.2">
      <c r="M566" s="84"/>
    </row>
    <row r="567" spans="13:13" ht="13.9" customHeight="1" x14ac:dyDescent="0.2">
      <c r="M567" s="84"/>
    </row>
    <row r="568" spans="13:13" ht="13.9" customHeight="1" x14ac:dyDescent="0.2">
      <c r="M568" s="84"/>
    </row>
    <row r="569" spans="13:13" ht="13.9" customHeight="1" x14ac:dyDescent="0.2">
      <c r="M569" s="84"/>
    </row>
    <row r="570" spans="13:13" ht="13.9" customHeight="1" x14ac:dyDescent="0.2">
      <c r="M570" s="84"/>
    </row>
    <row r="571" spans="13:13" ht="13.9" customHeight="1" x14ac:dyDescent="0.2">
      <c r="M571" s="84"/>
    </row>
    <row r="572" spans="13:13" ht="13.9" customHeight="1" x14ac:dyDescent="0.2">
      <c r="M572" s="84"/>
    </row>
    <row r="573" spans="13:13" ht="13.9" customHeight="1" x14ac:dyDescent="0.2">
      <c r="M573" s="84"/>
    </row>
    <row r="574" spans="13:13" ht="13.9" customHeight="1" x14ac:dyDescent="0.2">
      <c r="M574" s="84"/>
    </row>
    <row r="575" spans="13:13" ht="13.9" customHeight="1" x14ac:dyDescent="0.2">
      <c r="M575" s="84"/>
    </row>
    <row r="576" spans="13:13" ht="13.9" customHeight="1" x14ac:dyDescent="0.2">
      <c r="M576" s="84"/>
    </row>
    <row r="577" spans="13:13" ht="13.9" customHeight="1" x14ac:dyDescent="0.2">
      <c r="M577" s="84"/>
    </row>
    <row r="578" spans="13:13" ht="13.9" customHeight="1" x14ac:dyDescent="0.2">
      <c r="M578" s="84"/>
    </row>
    <row r="579" spans="13:13" ht="13.9" customHeight="1" x14ac:dyDescent="0.2">
      <c r="M579" s="84"/>
    </row>
    <row r="580" spans="13:13" ht="13.9" customHeight="1" x14ac:dyDescent="0.2">
      <c r="M580" s="84"/>
    </row>
    <row r="581" spans="13:13" ht="13.9" customHeight="1" x14ac:dyDescent="0.2">
      <c r="M581" s="84"/>
    </row>
    <row r="582" spans="13:13" ht="13.9" customHeight="1" x14ac:dyDescent="0.2">
      <c r="M582" s="84"/>
    </row>
    <row r="583" spans="13:13" ht="13.9" customHeight="1" x14ac:dyDescent="0.2">
      <c r="M583" s="84"/>
    </row>
    <row r="584" spans="13:13" ht="13.9" customHeight="1" x14ac:dyDescent="0.2">
      <c r="M584" s="84"/>
    </row>
    <row r="585" spans="13:13" ht="13.9" customHeight="1" x14ac:dyDescent="0.2">
      <c r="M585" s="84"/>
    </row>
    <row r="586" spans="13:13" ht="13.9" customHeight="1" x14ac:dyDescent="0.2">
      <c r="M586" s="84"/>
    </row>
    <row r="587" spans="13:13" ht="13.9" customHeight="1" x14ac:dyDescent="0.2">
      <c r="M587" s="84"/>
    </row>
    <row r="588" spans="13:13" ht="13.9" customHeight="1" x14ac:dyDescent="0.2">
      <c r="M588" s="84"/>
    </row>
    <row r="589" spans="13:13" ht="13.9" customHeight="1" x14ac:dyDescent="0.2">
      <c r="M589" s="84"/>
    </row>
    <row r="590" spans="13:13" ht="13.9" customHeight="1" x14ac:dyDescent="0.2">
      <c r="M590" s="84"/>
    </row>
    <row r="591" spans="13:13" ht="13.9" customHeight="1" x14ac:dyDescent="0.2">
      <c r="M591" s="84"/>
    </row>
    <row r="592" spans="13:13" ht="13.9" customHeight="1" x14ac:dyDescent="0.2">
      <c r="M592" s="84"/>
    </row>
    <row r="593" spans="13:13" ht="13.9" customHeight="1" x14ac:dyDescent="0.2">
      <c r="M593" s="84"/>
    </row>
    <row r="594" spans="13:13" ht="13.9" customHeight="1" x14ac:dyDescent="0.2">
      <c r="M594" s="84"/>
    </row>
    <row r="595" spans="13:13" ht="13.9" customHeight="1" x14ac:dyDescent="0.2">
      <c r="M595" s="84"/>
    </row>
    <row r="596" spans="13:13" ht="13.9" customHeight="1" x14ac:dyDescent="0.2">
      <c r="M596" s="84"/>
    </row>
    <row r="597" spans="13:13" ht="13.9" customHeight="1" x14ac:dyDescent="0.2">
      <c r="M597" s="84"/>
    </row>
    <row r="598" spans="13:13" ht="13.9" customHeight="1" x14ac:dyDescent="0.2">
      <c r="M598" s="84"/>
    </row>
    <row r="599" spans="13:13" ht="13.9" customHeight="1" x14ac:dyDescent="0.2">
      <c r="M599" s="84"/>
    </row>
    <row r="600" spans="13:13" ht="13.9" customHeight="1" x14ac:dyDescent="0.2">
      <c r="M600" s="84"/>
    </row>
    <row r="601" spans="13:13" ht="13.9" customHeight="1" x14ac:dyDescent="0.2">
      <c r="M601" s="84"/>
    </row>
    <row r="602" spans="13:13" ht="13.9" customHeight="1" x14ac:dyDescent="0.2">
      <c r="M602" s="84"/>
    </row>
    <row r="603" spans="13:13" ht="13.9" customHeight="1" x14ac:dyDescent="0.2">
      <c r="M603" s="84"/>
    </row>
    <row r="604" spans="13:13" ht="13.9" customHeight="1" x14ac:dyDescent="0.2">
      <c r="M604" s="84"/>
    </row>
    <row r="605" spans="13:13" ht="13.9" customHeight="1" x14ac:dyDescent="0.2">
      <c r="M605" s="84"/>
    </row>
    <row r="606" spans="13:13" ht="13.9" customHeight="1" x14ac:dyDescent="0.2">
      <c r="M606" s="84"/>
    </row>
    <row r="607" spans="13:13" ht="13.9" customHeight="1" x14ac:dyDescent="0.2">
      <c r="M607" s="84"/>
    </row>
    <row r="608" spans="13:13" ht="13.9" customHeight="1" x14ac:dyDescent="0.2">
      <c r="M608" s="84"/>
    </row>
    <row r="609" spans="13:13" ht="13.9" customHeight="1" x14ac:dyDescent="0.2">
      <c r="M609" s="84"/>
    </row>
    <row r="610" spans="13:13" ht="13.9" customHeight="1" x14ac:dyDescent="0.2">
      <c r="M610" s="84"/>
    </row>
    <row r="611" spans="13:13" ht="13.9" customHeight="1" x14ac:dyDescent="0.2">
      <c r="M611" s="84"/>
    </row>
    <row r="612" spans="13:13" ht="13.9" customHeight="1" x14ac:dyDescent="0.2">
      <c r="M612" s="84"/>
    </row>
    <row r="613" spans="13:13" ht="13.9" customHeight="1" x14ac:dyDescent="0.2">
      <c r="M613" s="84"/>
    </row>
    <row r="614" spans="13:13" ht="13.9" customHeight="1" x14ac:dyDescent="0.2">
      <c r="M614" s="84"/>
    </row>
    <row r="615" spans="13:13" ht="13.9" customHeight="1" x14ac:dyDescent="0.2">
      <c r="M615" s="84"/>
    </row>
    <row r="616" spans="13:13" ht="13.9" customHeight="1" x14ac:dyDescent="0.2">
      <c r="M616" s="84"/>
    </row>
    <row r="617" spans="13:13" ht="13.9" customHeight="1" x14ac:dyDescent="0.2">
      <c r="M617" s="84"/>
    </row>
    <row r="618" spans="13:13" ht="13.9" customHeight="1" x14ac:dyDescent="0.2">
      <c r="M618" s="84"/>
    </row>
    <row r="619" spans="13:13" ht="13.9" customHeight="1" x14ac:dyDescent="0.2">
      <c r="M619" s="84"/>
    </row>
    <row r="620" spans="13:13" ht="13.9" customHeight="1" x14ac:dyDescent="0.2">
      <c r="M620" s="84"/>
    </row>
    <row r="621" spans="13:13" ht="13.9" customHeight="1" x14ac:dyDescent="0.2">
      <c r="M621" s="84"/>
    </row>
    <row r="622" spans="13:13" ht="13.9" customHeight="1" x14ac:dyDescent="0.2">
      <c r="M622" s="84"/>
    </row>
    <row r="623" spans="13:13" ht="13.9" customHeight="1" x14ac:dyDescent="0.2">
      <c r="M623" s="84"/>
    </row>
    <row r="624" spans="13:13" ht="13.9" customHeight="1" x14ac:dyDescent="0.2">
      <c r="M624" s="84"/>
    </row>
    <row r="625" spans="13:13" ht="13.9" customHeight="1" x14ac:dyDescent="0.2">
      <c r="M625" s="84"/>
    </row>
    <row r="626" spans="13:13" ht="13.9" customHeight="1" x14ac:dyDescent="0.2">
      <c r="M626" s="84"/>
    </row>
    <row r="627" spans="13:13" ht="13.9" customHeight="1" x14ac:dyDescent="0.2">
      <c r="M627" s="84"/>
    </row>
    <row r="628" spans="13:13" ht="13.9" customHeight="1" x14ac:dyDescent="0.2">
      <c r="M628" s="84"/>
    </row>
    <row r="629" spans="13:13" ht="13.9" customHeight="1" x14ac:dyDescent="0.2">
      <c r="M629" s="84"/>
    </row>
    <row r="630" spans="13:13" ht="13.9" customHeight="1" x14ac:dyDescent="0.2">
      <c r="M630" s="84"/>
    </row>
    <row r="631" spans="13:13" ht="13.9" customHeight="1" x14ac:dyDescent="0.2">
      <c r="M631" s="84"/>
    </row>
    <row r="632" spans="13:13" ht="13.9" customHeight="1" x14ac:dyDescent="0.2">
      <c r="M632" s="84"/>
    </row>
    <row r="633" spans="13:13" ht="13.9" customHeight="1" x14ac:dyDescent="0.2">
      <c r="M633" s="84"/>
    </row>
    <row r="634" spans="13:13" ht="13.9" customHeight="1" x14ac:dyDescent="0.2">
      <c r="M634" s="84"/>
    </row>
    <row r="635" spans="13:13" ht="13.9" customHeight="1" x14ac:dyDescent="0.2">
      <c r="M635" s="84"/>
    </row>
    <row r="636" spans="13:13" ht="13.9" customHeight="1" x14ac:dyDescent="0.2">
      <c r="M636" s="84"/>
    </row>
    <row r="637" spans="13:13" ht="13.9" customHeight="1" x14ac:dyDescent="0.2">
      <c r="M637" s="84"/>
    </row>
    <row r="638" spans="13:13" ht="13.9" customHeight="1" x14ac:dyDescent="0.2">
      <c r="M638" s="84"/>
    </row>
    <row r="639" spans="13:13" ht="13.9" customHeight="1" x14ac:dyDescent="0.2">
      <c r="M639" s="84"/>
    </row>
    <row r="640" spans="13:13" ht="13.9" customHeight="1" x14ac:dyDescent="0.2">
      <c r="M640" s="84"/>
    </row>
    <row r="641" spans="13:13" ht="13.9" customHeight="1" x14ac:dyDescent="0.2">
      <c r="M641" s="84"/>
    </row>
    <row r="642" spans="13:13" ht="13.9" customHeight="1" x14ac:dyDescent="0.2">
      <c r="M642" s="84"/>
    </row>
    <row r="643" spans="13:13" ht="13.9" customHeight="1" x14ac:dyDescent="0.2">
      <c r="M643" s="84"/>
    </row>
    <row r="644" spans="13:13" ht="13.9" customHeight="1" x14ac:dyDescent="0.2">
      <c r="M644" s="84"/>
    </row>
    <row r="645" spans="13:13" ht="13.9" customHeight="1" x14ac:dyDescent="0.2">
      <c r="M645" s="84"/>
    </row>
    <row r="646" spans="13:13" ht="13.9" customHeight="1" x14ac:dyDescent="0.2">
      <c r="M646" s="84"/>
    </row>
    <row r="647" spans="13:13" ht="13.9" customHeight="1" x14ac:dyDescent="0.2">
      <c r="M647" s="84"/>
    </row>
    <row r="648" spans="13:13" ht="13.9" customHeight="1" x14ac:dyDescent="0.2">
      <c r="M648" s="84"/>
    </row>
    <row r="649" spans="13:13" ht="13.9" customHeight="1" x14ac:dyDescent="0.2">
      <c r="M649" s="84"/>
    </row>
    <row r="650" spans="13:13" ht="13.9" customHeight="1" x14ac:dyDescent="0.2">
      <c r="M650" s="84"/>
    </row>
    <row r="651" spans="13:13" ht="13.9" customHeight="1" x14ac:dyDescent="0.2">
      <c r="M651" s="84"/>
    </row>
    <row r="652" spans="13:13" ht="13.9" customHeight="1" x14ac:dyDescent="0.2">
      <c r="M652" s="84"/>
    </row>
    <row r="653" spans="13:13" ht="13.9" customHeight="1" x14ac:dyDescent="0.2">
      <c r="M653" s="84"/>
    </row>
    <row r="654" spans="13:13" ht="13.9" customHeight="1" x14ac:dyDescent="0.2">
      <c r="M654" s="84"/>
    </row>
    <row r="655" spans="13:13" ht="13.9" customHeight="1" x14ac:dyDescent="0.2">
      <c r="M655" s="84"/>
    </row>
    <row r="656" spans="13:13" ht="13.9" customHeight="1" x14ac:dyDescent="0.2">
      <c r="M656" s="84"/>
    </row>
    <row r="657" spans="13:13" ht="13.9" customHeight="1" x14ac:dyDescent="0.2">
      <c r="M657" s="84"/>
    </row>
    <row r="658" spans="13:13" ht="13.9" customHeight="1" x14ac:dyDescent="0.2">
      <c r="M658" s="84"/>
    </row>
    <row r="659" spans="13:13" ht="13.9" customHeight="1" x14ac:dyDescent="0.2">
      <c r="M659" s="84"/>
    </row>
    <row r="660" spans="13:13" ht="13.9" customHeight="1" x14ac:dyDescent="0.2">
      <c r="M660" s="84"/>
    </row>
    <row r="661" spans="13:13" ht="13.9" customHeight="1" x14ac:dyDescent="0.2">
      <c r="M661" s="84"/>
    </row>
    <row r="662" spans="13:13" ht="13.9" customHeight="1" x14ac:dyDescent="0.2">
      <c r="M662" s="84"/>
    </row>
    <row r="663" spans="13:13" ht="13.9" customHeight="1" x14ac:dyDescent="0.2">
      <c r="M663" s="84"/>
    </row>
    <row r="664" spans="13:13" ht="13.9" customHeight="1" x14ac:dyDescent="0.2">
      <c r="M664" s="84"/>
    </row>
    <row r="665" spans="13:13" ht="13.9" customHeight="1" x14ac:dyDescent="0.2">
      <c r="M665" s="84"/>
    </row>
    <row r="666" spans="13:13" ht="13.9" customHeight="1" x14ac:dyDescent="0.2">
      <c r="M666" s="84"/>
    </row>
    <row r="667" spans="13:13" ht="13.9" customHeight="1" x14ac:dyDescent="0.2">
      <c r="M667" s="84"/>
    </row>
    <row r="668" spans="13:13" ht="13.9" customHeight="1" x14ac:dyDescent="0.2">
      <c r="M668" s="84"/>
    </row>
    <row r="669" spans="13:13" ht="13.9" customHeight="1" x14ac:dyDescent="0.2">
      <c r="M669" s="84"/>
    </row>
    <row r="670" spans="13:13" ht="13.9" customHeight="1" x14ac:dyDescent="0.2">
      <c r="M670" s="84"/>
    </row>
    <row r="671" spans="13:13" ht="13.9" customHeight="1" x14ac:dyDescent="0.2">
      <c r="M671" s="84"/>
    </row>
    <row r="672" spans="13:13" ht="13.9" customHeight="1" x14ac:dyDescent="0.2">
      <c r="M672" s="84"/>
    </row>
    <row r="673" spans="13:13" ht="13.9" customHeight="1" x14ac:dyDescent="0.2">
      <c r="M673" s="84"/>
    </row>
    <row r="674" spans="13:13" ht="13.9" customHeight="1" x14ac:dyDescent="0.2">
      <c r="M674" s="84"/>
    </row>
    <row r="675" spans="13:13" ht="13.9" customHeight="1" x14ac:dyDescent="0.2">
      <c r="M675" s="84"/>
    </row>
    <row r="676" spans="13:13" ht="13.9" customHeight="1" x14ac:dyDescent="0.2">
      <c r="M676" s="84"/>
    </row>
    <row r="677" spans="13:13" ht="13.9" customHeight="1" x14ac:dyDescent="0.2">
      <c r="M677" s="84"/>
    </row>
    <row r="678" spans="13:13" ht="13.9" customHeight="1" x14ac:dyDescent="0.2">
      <c r="M678" s="84"/>
    </row>
    <row r="679" spans="13:13" ht="13.9" customHeight="1" x14ac:dyDescent="0.2">
      <c r="M679" s="84"/>
    </row>
    <row r="680" spans="13:13" ht="13.9" customHeight="1" x14ac:dyDescent="0.2">
      <c r="M680" s="84"/>
    </row>
    <row r="681" spans="13:13" ht="13.9" customHeight="1" x14ac:dyDescent="0.2">
      <c r="M681" s="84"/>
    </row>
    <row r="682" spans="13:13" ht="13.9" customHeight="1" x14ac:dyDescent="0.2">
      <c r="M682" s="84"/>
    </row>
    <row r="683" spans="13:13" ht="13.9" customHeight="1" x14ac:dyDescent="0.2">
      <c r="M683" s="84"/>
    </row>
    <row r="684" spans="13:13" ht="13.9" customHeight="1" x14ac:dyDescent="0.2">
      <c r="M684" s="84"/>
    </row>
    <row r="685" spans="13:13" ht="13.9" customHeight="1" x14ac:dyDescent="0.2">
      <c r="M685" s="84"/>
    </row>
    <row r="686" spans="13:13" ht="13.9" customHeight="1" x14ac:dyDescent="0.2">
      <c r="M686" s="84"/>
    </row>
    <row r="687" spans="13:13" ht="13.9" customHeight="1" x14ac:dyDescent="0.2">
      <c r="M687" s="84"/>
    </row>
    <row r="688" spans="13:13" ht="13.9" customHeight="1" x14ac:dyDescent="0.2">
      <c r="M688" s="84"/>
    </row>
    <row r="689" spans="13:13" ht="13.9" customHeight="1" x14ac:dyDescent="0.2">
      <c r="M689" s="84"/>
    </row>
    <row r="690" spans="13:13" ht="13.9" customHeight="1" x14ac:dyDescent="0.2">
      <c r="M690" s="84"/>
    </row>
    <row r="691" spans="13:13" ht="13.9" customHeight="1" x14ac:dyDescent="0.2">
      <c r="M691" s="84"/>
    </row>
    <row r="692" spans="13:13" ht="13.9" customHeight="1" x14ac:dyDescent="0.2">
      <c r="M692" s="84"/>
    </row>
    <row r="693" spans="13:13" ht="13.9" customHeight="1" x14ac:dyDescent="0.2">
      <c r="M693" s="84"/>
    </row>
    <row r="694" spans="13:13" ht="13.9" customHeight="1" x14ac:dyDescent="0.2">
      <c r="M694" s="84"/>
    </row>
    <row r="695" spans="13:13" ht="13.9" customHeight="1" x14ac:dyDescent="0.2">
      <c r="M695" s="84"/>
    </row>
    <row r="696" spans="13:13" ht="13.9" customHeight="1" x14ac:dyDescent="0.2">
      <c r="M696" s="84"/>
    </row>
    <row r="697" spans="13:13" ht="13.9" customHeight="1" x14ac:dyDescent="0.2">
      <c r="M697" s="84"/>
    </row>
    <row r="698" spans="13:13" ht="13.9" customHeight="1" x14ac:dyDescent="0.2">
      <c r="M698" s="84"/>
    </row>
    <row r="699" spans="13:13" ht="13.9" customHeight="1" x14ac:dyDescent="0.2">
      <c r="M699" s="84"/>
    </row>
    <row r="700" spans="13:13" ht="13.9" customHeight="1" x14ac:dyDescent="0.2">
      <c r="M700" s="84"/>
    </row>
    <row r="701" spans="13:13" ht="13.9" customHeight="1" x14ac:dyDescent="0.2">
      <c r="M701" s="84"/>
    </row>
    <row r="702" spans="13:13" ht="13.9" customHeight="1" x14ac:dyDescent="0.2">
      <c r="M702" s="84"/>
    </row>
    <row r="703" spans="13:13" ht="13.9" customHeight="1" x14ac:dyDescent="0.2">
      <c r="M703" s="84"/>
    </row>
    <row r="704" spans="13:13" ht="13.9" customHeight="1" x14ac:dyDescent="0.2">
      <c r="M704" s="84"/>
    </row>
    <row r="705" spans="13:13" ht="13.9" customHeight="1" x14ac:dyDescent="0.2">
      <c r="M705" s="84"/>
    </row>
    <row r="706" spans="13:13" ht="13.9" customHeight="1" x14ac:dyDescent="0.2">
      <c r="M706" s="84"/>
    </row>
    <row r="707" spans="13:13" ht="13.9" customHeight="1" x14ac:dyDescent="0.2">
      <c r="M707" s="84"/>
    </row>
    <row r="708" spans="13:13" ht="13.9" customHeight="1" x14ac:dyDescent="0.2">
      <c r="M708" s="84"/>
    </row>
    <row r="709" spans="13:13" ht="13.9" customHeight="1" x14ac:dyDescent="0.2">
      <c r="M709" s="84"/>
    </row>
    <row r="710" spans="13:13" ht="13.9" customHeight="1" x14ac:dyDescent="0.2">
      <c r="M710" s="84"/>
    </row>
    <row r="711" spans="13:13" ht="13.9" customHeight="1" x14ac:dyDescent="0.2">
      <c r="M711" s="84"/>
    </row>
    <row r="712" spans="13:13" ht="13.9" customHeight="1" x14ac:dyDescent="0.2">
      <c r="M712" s="84"/>
    </row>
    <row r="713" spans="13:13" ht="13.9" customHeight="1" x14ac:dyDescent="0.2">
      <c r="M713" s="84"/>
    </row>
    <row r="714" spans="13:13" ht="13.9" customHeight="1" x14ac:dyDescent="0.2">
      <c r="M714" s="84"/>
    </row>
    <row r="715" spans="13:13" ht="13.9" customHeight="1" x14ac:dyDescent="0.2">
      <c r="M715" s="84"/>
    </row>
    <row r="716" spans="13:13" ht="13.9" customHeight="1" x14ac:dyDescent="0.2">
      <c r="M716" s="84"/>
    </row>
    <row r="717" spans="13:13" ht="13.9" customHeight="1" x14ac:dyDescent="0.2">
      <c r="M717" s="84"/>
    </row>
    <row r="718" spans="13:13" ht="13.9" customHeight="1" x14ac:dyDescent="0.2">
      <c r="M718" s="84"/>
    </row>
    <row r="719" spans="13:13" ht="13.9" customHeight="1" x14ac:dyDescent="0.2">
      <c r="M719" s="84"/>
    </row>
    <row r="720" spans="13:13" ht="13.9" customHeight="1" x14ac:dyDescent="0.2">
      <c r="M720" s="84"/>
    </row>
    <row r="721" spans="13:13" ht="13.9" customHeight="1" x14ac:dyDescent="0.2">
      <c r="M721" s="84"/>
    </row>
    <row r="722" spans="13:13" ht="13.9" customHeight="1" x14ac:dyDescent="0.2">
      <c r="M722" s="84"/>
    </row>
    <row r="723" spans="13:13" ht="13.9" customHeight="1" x14ac:dyDescent="0.2">
      <c r="M723" s="84"/>
    </row>
    <row r="724" spans="13:13" ht="13.9" customHeight="1" x14ac:dyDescent="0.2">
      <c r="M724" s="84"/>
    </row>
    <row r="725" spans="13:13" ht="13.9" customHeight="1" x14ac:dyDescent="0.2">
      <c r="M725" s="84"/>
    </row>
    <row r="726" spans="13:13" ht="13.9" customHeight="1" x14ac:dyDescent="0.2">
      <c r="M726" s="84"/>
    </row>
    <row r="727" spans="13:13" ht="13.9" customHeight="1" x14ac:dyDescent="0.2">
      <c r="M727" s="84"/>
    </row>
    <row r="728" spans="13:13" ht="13.9" customHeight="1" x14ac:dyDescent="0.2">
      <c r="M728" s="84"/>
    </row>
    <row r="729" spans="13:13" ht="13.9" customHeight="1" x14ac:dyDescent="0.2">
      <c r="M729" s="84"/>
    </row>
    <row r="730" spans="13:13" ht="13.9" customHeight="1" x14ac:dyDescent="0.2">
      <c r="M730" s="84"/>
    </row>
    <row r="731" spans="13:13" ht="13.9" customHeight="1" x14ac:dyDescent="0.2">
      <c r="M731" s="84"/>
    </row>
    <row r="732" spans="13:13" ht="13.9" customHeight="1" x14ac:dyDescent="0.2">
      <c r="M732" s="84"/>
    </row>
    <row r="733" spans="13:13" ht="13.9" customHeight="1" x14ac:dyDescent="0.2">
      <c r="M733" s="84"/>
    </row>
    <row r="734" spans="13:13" ht="13.9" customHeight="1" x14ac:dyDescent="0.2">
      <c r="M734" s="84"/>
    </row>
    <row r="735" spans="13:13" ht="13.9" customHeight="1" x14ac:dyDescent="0.2">
      <c r="M735" s="84"/>
    </row>
    <row r="736" spans="13:13" ht="13.9" customHeight="1" x14ac:dyDescent="0.2">
      <c r="M736" s="84"/>
    </row>
    <row r="737" spans="13:13" ht="13.9" customHeight="1" x14ac:dyDescent="0.2">
      <c r="M737" s="84"/>
    </row>
    <row r="738" spans="13:13" ht="13.9" customHeight="1" x14ac:dyDescent="0.2">
      <c r="M738" s="84"/>
    </row>
    <row r="739" spans="13:13" ht="13.9" customHeight="1" x14ac:dyDescent="0.2">
      <c r="M739" s="84"/>
    </row>
    <row r="740" spans="13:13" ht="13.9" customHeight="1" x14ac:dyDescent="0.2">
      <c r="M740" s="84"/>
    </row>
    <row r="741" spans="13:13" ht="13.9" customHeight="1" x14ac:dyDescent="0.2">
      <c r="M741" s="84"/>
    </row>
    <row r="742" spans="13:13" ht="13.9" customHeight="1" x14ac:dyDescent="0.2">
      <c r="M742" s="84"/>
    </row>
    <row r="743" spans="13:13" ht="13.9" customHeight="1" x14ac:dyDescent="0.2">
      <c r="M743" s="84"/>
    </row>
    <row r="744" spans="13:13" ht="13.9" customHeight="1" x14ac:dyDescent="0.2">
      <c r="M744" s="84"/>
    </row>
    <row r="745" spans="13:13" ht="13.9" customHeight="1" x14ac:dyDescent="0.2">
      <c r="M745" s="84"/>
    </row>
    <row r="746" spans="13:13" ht="13.9" customHeight="1" x14ac:dyDescent="0.2">
      <c r="M746" s="84"/>
    </row>
    <row r="747" spans="13:13" ht="13.9" customHeight="1" x14ac:dyDescent="0.2">
      <c r="M747" s="84"/>
    </row>
    <row r="748" spans="13:13" ht="13.9" customHeight="1" x14ac:dyDescent="0.2">
      <c r="M748" s="84"/>
    </row>
    <row r="749" spans="13:13" ht="13.9" customHeight="1" x14ac:dyDescent="0.2">
      <c r="M749" s="84"/>
    </row>
    <row r="750" spans="13:13" ht="13.9" customHeight="1" x14ac:dyDescent="0.2">
      <c r="M750" s="84"/>
    </row>
    <row r="751" spans="13:13" ht="13.9" customHeight="1" x14ac:dyDescent="0.2">
      <c r="M751" s="84"/>
    </row>
    <row r="752" spans="13:13" ht="13.9" customHeight="1" x14ac:dyDescent="0.2">
      <c r="M752" s="84"/>
    </row>
    <row r="753" spans="13:13" ht="13.9" customHeight="1" x14ac:dyDescent="0.2">
      <c r="M753" s="84"/>
    </row>
    <row r="754" spans="13:13" ht="13.9" customHeight="1" x14ac:dyDescent="0.2">
      <c r="M754" s="84"/>
    </row>
    <row r="755" spans="13:13" ht="13.9" customHeight="1" x14ac:dyDescent="0.2">
      <c r="M755" s="84"/>
    </row>
    <row r="756" spans="13:13" ht="13.9" customHeight="1" x14ac:dyDescent="0.2">
      <c r="M756" s="84"/>
    </row>
    <row r="757" spans="13:13" ht="13.9" customHeight="1" x14ac:dyDescent="0.2">
      <c r="M757" s="84"/>
    </row>
    <row r="758" spans="13:13" ht="13.9" customHeight="1" x14ac:dyDescent="0.2">
      <c r="M758" s="84"/>
    </row>
    <row r="759" spans="13:13" ht="13.9" customHeight="1" x14ac:dyDescent="0.2">
      <c r="M759" s="84"/>
    </row>
    <row r="760" spans="13:13" ht="13.9" customHeight="1" x14ac:dyDescent="0.2">
      <c r="M760" s="84"/>
    </row>
    <row r="761" spans="13:13" ht="13.9" customHeight="1" x14ac:dyDescent="0.2">
      <c r="M761" s="84"/>
    </row>
    <row r="762" spans="13:13" ht="13.9" customHeight="1" x14ac:dyDescent="0.2">
      <c r="M762" s="84"/>
    </row>
    <row r="763" spans="13:13" ht="13.9" customHeight="1" x14ac:dyDescent="0.2">
      <c r="M763" s="84"/>
    </row>
    <row r="764" spans="13:13" ht="13.9" customHeight="1" x14ac:dyDescent="0.2">
      <c r="M764" s="84"/>
    </row>
    <row r="765" spans="13:13" ht="13.9" customHeight="1" x14ac:dyDescent="0.2">
      <c r="M765" s="84"/>
    </row>
    <row r="766" spans="13:13" ht="13.9" customHeight="1" x14ac:dyDescent="0.2">
      <c r="M766" s="84"/>
    </row>
    <row r="767" spans="13:13" ht="13.9" customHeight="1" x14ac:dyDescent="0.2">
      <c r="M767" s="84"/>
    </row>
    <row r="768" spans="13:13" ht="13.9" customHeight="1" x14ac:dyDescent="0.2">
      <c r="M768" s="84"/>
    </row>
    <row r="769" spans="13:13" ht="13.9" customHeight="1" x14ac:dyDescent="0.2">
      <c r="M769" s="84"/>
    </row>
    <row r="770" spans="13:13" ht="13.9" customHeight="1" x14ac:dyDescent="0.2">
      <c r="M770" s="84"/>
    </row>
    <row r="771" spans="13:13" ht="13.9" customHeight="1" x14ac:dyDescent="0.2">
      <c r="M771" s="84"/>
    </row>
    <row r="772" spans="13:13" ht="13.9" customHeight="1" x14ac:dyDescent="0.2">
      <c r="M772" s="84"/>
    </row>
    <row r="773" spans="13:13" ht="13.9" customHeight="1" x14ac:dyDescent="0.2">
      <c r="M773" s="84"/>
    </row>
    <row r="774" spans="13:13" ht="13.9" customHeight="1" x14ac:dyDescent="0.2">
      <c r="M774" s="84"/>
    </row>
    <row r="775" spans="13:13" ht="13.9" customHeight="1" x14ac:dyDescent="0.2">
      <c r="M775" s="84"/>
    </row>
    <row r="776" spans="13:13" ht="13.9" customHeight="1" x14ac:dyDescent="0.2">
      <c r="M776" s="84"/>
    </row>
    <row r="777" spans="13:13" ht="13.9" customHeight="1" x14ac:dyDescent="0.2">
      <c r="M777" s="84"/>
    </row>
    <row r="778" spans="13:13" ht="13.9" customHeight="1" x14ac:dyDescent="0.2">
      <c r="M778" s="84"/>
    </row>
    <row r="779" spans="13:13" ht="13.9" customHeight="1" x14ac:dyDescent="0.2">
      <c r="M779" s="84"/>
    </row>
    <row r="780" spans="13:13" ht="13.9" customHeight="1" x14ac:dyDescent="0.2">
      <c r="M780" s="84"/>
    </row>
    <row r="781" spans="13:13" ht="13.9" customHeight="1" x14ac:dyDescent="0.2">
      <c r="M781" s="84"/>
    </row>
    <row r="782" spans="13:13" ht="13.9" customHeight="1" x14ac:dyDescent="0.2">
      <c r="M782" s="84"/>
    </row>
    <row r="783" spans="13:13" ht="13.9" customHeight="1" x14ac:dyDescent="0.2">
      <c r="M783" s="84"/>
    </row>
    <row r="784" spans="13:13" ht="13.9" customHeight="1" x14ac:dyDescent="0.2">
      <c r="M784" s="84"/>
    </row>
    <row r="785" spans="13:13" ht="13.9" customHeight="1" x14ac:dyDescent="0.2">
      <c r="M785" s="84"/>
    </row>
    <row r="786" spans="13:13" ht="13.9" customHeight="1" x14ac:dyDescent="0.2">
      <c r="M786" s="84"/>
    </row>
    <row r="787" spans="13:13" ht="13.9" customHeight="1" x14ac:dyDescent="0.2">
      <c r="M787" s="84"/>
    </row>
    <row r="788" spans="13:13" ht="13.9" customHeight="1" x14ac:dyDescent="0.2">
      <c r="M788" s="84"/>
    </row>
    <row r="789" spans="13:13" ht="13.9" customHeight="1" x14ac:dyDescent="0.2">
      <c r="M789" s="84"/>
    </row>
    <row r="790" spans="13:13" ht="13.9" customHeight="1" x14ac:dyDescent="0.2">
      <c r="M790" s="84"/>
    </row>
    <row r="791" spans="13:13" ht="13.9" customHeight="1" x14ac:dyDescent="0.2">
      <c r="M791" s="84"/>
    </row>
    <row r="792" spans="13:13" ht="13.9" customHeight="1" x14ac:dyDescent="0.2">
      <c r="M792" s="84"/>
    </row>
    <row r="793" spans="13:13" ht="13.9" customHeight="1" x14ac:dyDescent="0.2">
      <c r="M793" s="84"/>
    </row>
    <row r="794" spans="13:13" ht="13.9" customHeight="1" x14ac:dyDescent="0.2">
      <c r="M794" s="84"/>
    </row>
    <row r="795" spans="13:13" ht="13.9" customHeight="1" x14ac:dyDescent="0.2">
      <c r="M795" s="84"/>
    </row>
    <row r="796" spans="13:13" ht="13.9" customHeight="1" x14ac:dyDescent="0.2">
      <c r="M796" s="84"/>
    </row>
    <row r="797" spans="13:13" ht="13.9" customHeight="1" x14ac:dyDescent="0.2">
      <c r="M797" s="84"/>
    </row>
    <row r="798" spans="13:13" ht="13.9" customHeight="1" x14ac:dyDescent="0.2">
      <c r="M798" s="84"/>
    </row>
    <row r="799" spans="13:13" ht="13.9" customHeight="1" x14ac:dyDescent="0.2">
      <c r="M799" s="84"/>
    </row>
    <row r="800" spans="13:13" ht="13.9" customHeight="1" x14ac:dyDescent="0.2">
      <c r="M800" s="84"/>
    </row>
    <row r="801" spans="13:13" ht="13.9" customHeight="1" x14ac:dyDescent="0.2">
      <c r="M801" s="84"/>
    </row>
    <row r="802" spans="13:13" ht="13.9" customHeight="1" x14ac:dyDescent="0.2">
      <c r="M802" s="84"/>
    </row>
    <row r="803" spans="13:13" ht="13.9" customHeight="1" x14ac:dyDescent="0.2">
      <c r="M803" s="84"/>
    </row>
    <row r="804" spans="13:13" ht="13.9" customHeight="1" x14ac:dyDescent="0.2">
      <c r="M804" s="84"/>
    </row>
    <row r="805" spans="13:13" ht="13.9" customHeight="1" x14ac:dyDescent="0.2">
      <c r="M805" s="84"/>
    </row>
    <row r="806" spans="13:13" ht="13.9" customHeight="1" x14ac:dyDescent="0.2">
      <c r="M806" s="84"/>
    </row>
    <row r="807" spans="13:13" ht="13.9" customHeight="1" x14ac:dyDescent="0.2">
      <c r="M807" s="84"/>
    </row>
    <row r="808" spans="13:13" ht="13.9" customHeight="1" x14ac:dyDescent="0.2">
      <c r="M808" s="84"/>
    </row>
    <row r="809" spans="13:13" ht="13.9" customHeight="1" x14ac:dyDescent="0.2">
      <c r="M809" s="84"/>
    </row>
    <row r="810" spans="13:13" ht="13.9" customHeight="1" x14ac:dyDescent="0.2">
      <c r="M810" s="84"/>
    </row>
    <row r="811" spans="13:13" ht="13.9" customHeight="1" x14ac:dyDescent="0.2">
      <c r="M811" s="84"/>
    </row>
    <row r="812" spans="13:13" ht="13.9" customHeight="1" x14ac:dyDescent="0.2">
      <c r="M812" s="84"/>
    </row>
    <row r="813" spans="13:13" ht="13.9" customHeight="1" x14ac:dyDescent="0.2">
      <c r="M813" s="84"/>
    </row>
    <row r="814" spans="13:13" ht="13.9" customHeight="1" x14ac:dyDescent="0.2">
      <c r="M814" s="84"/>
    </row>
    <row r="815" spans="13:13" ht="13.9" customHeight="1" x14ac:dyDescent="0.2">
      <c r="M815" s="84"/>
    </row>
    <row r="816" spans="13:13" ht="13.9" customHeight="1" x14ac:dyDescent="0.2">
      <c r="M816" s="84"/>
    </row>
    <row r="817" spans="13:13" ht="13.9" customHeight="1" x14ac:dyDescent="0.2">
      <c r="M817" s="84"/>
    </row>
    <row r="818" spans="13:13" ht="13.9" customHeight="1" x14ac:dyDescent="0.2">
      <c r="M818" s="84"/>
    </row>
    <row r="819" spans="13:13" ht="13.9" customHeight="1" x14ac:dyDescent="0.2">
      <c r="M819" s="84"/>
    </row>
    <row r="820" spans="13:13" ht="13.9" customHeight="1" x14ac:dyDescent="0.2">
      <c r="M820" s="84"/>
    </row>
    <row r="821" spans="13:13" ht="13.9" customHeight="1" x14ac:dyDescent="0.2">
      <c r="M821" s="84"/>
    </row>
    <row r="822" spans="13:13" ht="13.9" customHeight="1" x14ac:dyDescent="0.2">
      <c r="M822" s="84"/>
    </row>
    <row r="823" spans="13:13" ht="13.9" customHeight="1" x14ac:dyDescent="0.2">
      <c r="M823" s="84"/>
    </row>
    <row r="824" spans="13:13" ht="13.9" customHeight="1" x14ac:dyDescent="0.2">
      <c r="M824" s="84"/>
    </row>
    <row r="825" spans="13:13" ht="13.9" customHeight="1" x14ac:dyDescent="0.2">
      <c r="M825" s="84"/>
    </row>
    <row r="826" spans="13:13" ht="13.9" customHeight="1" x14ac:dyDescent="0.2">
      <c r="M826" s="84"/>
    </row>
    <row r="827" spans="13:13" ht="13.9" customHeight="1" x14ac:dyDescent="0.2">
      <c r="M827" s="84"/>
    </row>
    <row r="828" spans="13:13" ht="13.9" customHeight="1" x14ac:dyDescent="0.2">
      <c r="M828" s="84"/>
    </row>
    <row r="829" spans="13:13" ht="13.9" customHeight="1" x14ac:dyDescent="0.2">
      <c r="M829" s="84"/>
    </row>
    <row r="830" spans="13:13" ht="13.9" customHeight="1" x14ac:dyDescent="0.2">
      <c r="M830" s="84"/>
    </row>
    <row r="831" spans="13:13" ht="13.9" customHeight="1" x14ac:dyDescent="0.2">
      <c r="M831" s="84"/>
    </row>
    <row r="832" spans="13:13" ht="13.9" customHeight="1" x14ac:dyDescent="0.2">
      <c r="M832" s="84"/>
    </row>
    <row r="833" spans="13:13" ht="13.9" customHeight="1" x14ac:dyDescent="0.2">
      <c r="M833" s="84"/>
    </row>
    <row r="834" spans="13:13" ht="13.9" customHeight="1" x14ac:dyDescent="0.2">
      <c r="M834" s="84"/>
    </row>
    <row r="835" spans="13:13" ht="13.9" customHeight="1" x14ac:dyDescent="0.2">
      <c r="M835" s="84"/>
    </row>
    <row r="836" spans="13:13" ht="13.9" customHeight="1" x14ac:dyDescent="0.2">
      <c r="M836" s="84"/>
    </row>
    <row r="837" spans="13:13" ht="13.9" customHeight="1" x14ac:dyDescent="0.2">
      <c r="M837" s="84"/>
    </row>
    <row r="838" spans="13:13" ht="13.9" customHeight="1" x14ac:dyDescent="0.2">
      <c r="M838" s="84"/>
    </row>
    <row r="839" spans="13:13" ht="13.9" customHeight="1" x14ac:dyDescent="0.2">
      <c r="M839" s="84"/>
    </row>
    <row r="840" spans="13:13" ht="13.9" customHeight="1" x14ac:dyDescent="0.2">
      <c r="M840" s="84"/>
    </row>
    <row r="841" spans="13:13" ht="13.9" customHeight="1" x14ac:dyDescent="0.2">
      <c r="M841" s="84"/>
    </row>
    <row r="842" spans="13:13" ht="13.9" customHeight="1" x14ac:dyDescent="0.2">
      <c r="M842" s="84"/>
    </row>
    <row r="843" spans="13:13" ht="13.9" customHeight="1" x14ac:dyDescent="0.2">
      <c r="M843" s="84"/>
    </row>
    <row r="844" spans="13:13" ht="13.9" customHeight="1" x14ac:dyDescent="0.2">
      <c r="M844" s="84"/>
    </row>
    <row r="845" spans="13:13" ht="13.9" customHeight="1" x14ac:dyDescent="0.2">
      <c r="M845" s="84"/>
    </row>
    <row r="846" spans="13:13" ht="13.9" customHeight="1" x14ac:dyDescent="0.2">
      <c r="M846" s="84"/>
    </row>
    <row r="847" spans="13:13" ht="13.9" customHeight="1" x14ac:dyDescent="0.2">
      <c r="M847" s="84"/>
    </row>
    <row r="848" spans="13:13" ht="13.9" customHeight="1" x14ac:dyDescent="0.2">
      <c r="M848" s="84"/>
    </row>
    <row r="849" spans="13:13" ht="13.9" customHeight="1" x14ac:dyDescent="0.2">
      <c r="M849" s="84"/>
    </row>
    <row r="850" spans="13:13" ht="13.9" customHeight="1" x14ac:dyDescent="0.2">
      <c r="M850" s="84"/>
    </row>
    <row r="851" spans="13:13" ht="13.9" customHeight="1" x14ac:dyDescent="0.2">
      <c r="M851" s="84"/>
    </row>
    <row r="852" spans="13:13" ht="13.9" customHeight="1" x14ac:dyDescent="0.2">
      <c r="M852" s="84"/>
    </row>
    <row r="853" spans="13:13" ht="13.9" customHeight="1" x14ac:dyDescent="0.2">
      <c r="M853" s="84"/>
    </row>
    <row r="854" spans="13:13" ht="13.9" customHeight="1" x14ac:dyDescent="0.2">
      <c r="M854" s="84"/>
    </row>
    <row r="855" spans="13:13" ht="13.9" customHeight="1" x14ac:dyDescent="0.2">
      <c r="M855" s="84"/>
    </row>
    <row r="856" spans="13:13" ht="13.9" customHeight="1" x14ac:dyDescent="0.2">
      <c r="M856" s="84"/>
    </row>
    <row r="857" spans="13:13" ht="13.9" customHeight="1" x14ac:dyDescent="0.2">
      <c r="M857" s="84"/>
    </row>
    <row r="858" spans="13:13" ht="13.9" customHeight="1" x14ac:dyDescent="0.2">
      <c r="M858" s="84"/>
    </row>
    <row r="859" spans="13:13" ht="13.9" customHeight="1" x14ac:dyDescent="0.2">
      <c r="M859" s="84"/>
    </row>
    <row r="860" spans="13:13" ht="13.9" customHeight="1" x14ac:dyDescent="0.2">
      <c r="M860" s="84"/>
    </row>
    <row r="861" spans="13:13" ht="13.9" customHeight="1" x14ac:dyDescent="0.2">
      <c r="M861" s="84"/>
    </row>
    <row r="862" spans="13:13" ht="13.9" customHeight="1" x14ac:dyDescent="0.2">
      <c r="M862" s="84"/>
    </row>
    <row r="863" spans="13:13" ht="13.9" customHeight="1" x14ac:dyDescent="0.2">
      <c r="M863" s="84"/>
    </row>
  </sheetData>
  <mergeCells count="40">
    <mergeCell ref="G15:J18"/>
    <mergeCell ref="B15:E18"/>
    <mergeCell ref="B160:M161"/>
    <mergeCell ref="M111:M114"/>
    <mergeCell ref="K111:K114"/>
    <mergeCell ref="L111:L114"/>
    <mergeCell ref="K70:K71"/>
    <mergeCell ref="B80:H82"/>
    <mergeCell ref="B73:J74"/>
    <mergeCell ref="L83:M85"/>
    <mergeCell ref="B78:F79"/>
    <mergeCell ref="B86:I87"/>
    <mergeCell ref="H108:I111"/>
    <mergeCell ref="J80:J82"/>
    <mergeCell ref="L2:U4"/>
    <mergeCell ref="F107:F108"/>
    <mergeCell ref="G107:G108"/>
    <mergeCell ref="C43:J44"/>
    <mergeCell ref="C46:J47"/>
    <mergeCell ref="K46:K47"/>
    <mergeCell ref="K65:K66"/>
    <mergeCell ref="B22:J23"/>
    <mergeCell ref="Q17:U20"/>
    <mergeCell ref="B10:J12"/>
    <mergeCell ref="B25:J27"/>
    <mergeCell ref="B29:J31"/>
    <mergeCell ref="K29:K31"/>
    <mergeCell ref="B65:J66"/>
    <mergeCell ref="B43:B44"/>
    <mergeCell ref="B5:J6"/>
    <mergeCell ref="P124:W125"/>
    <mergeCell ref="C49:J50"/>
    <mergeCell ref="K49:K50"/>
    <mergeCell ref="C52:J53"/>
    <mergeCell ref="K52:K53"/>
    <mergeCell ref="R111:U113"/>
    <mergeCell ref="P111:P114"/>
    <mergeCell ref="B90:H92"/>
    <mergeCell ref="B70:J71"/>
    <mergeCell ref="N111:O114"/>
  </mergeCells>
  <phoneticPr fontId="3" type="noConversion"/>
  <dataValidations count="1">
    <dataValidation type="list" allowBlank="1" showInputMessage="1" showErrorMessage="1" sqref="K80:L80">
      <formula1>#REF!</formula1>
    </dataValidation>
  </dataValidations>
  <printOptions gridLines="1"/>
  <pageMargins left="0.52" right="0.42" top="1" bottom="1" header="0.5" footer="0.5"/>
  <pageSetup orientation="portrait" r:id="rId1"/>
  <headerFooter alignWithMargins="0"/>
  <rowBreaks count="1" manualBreakCount="1">
    <brk id="67" min="1" max="3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50"/>
  <sheetViews>
    <sheetView topLeftCell="A23" zoomScaleNormal="100" workbookViewId="0"/>
  </sheetViews>
  <sheetFormatPr defaultRowHeight="13.9" customHeight="1" x14ac:dyDescent="0.2"/>
  <cols>
    <col min="1" max="1" width="2.42578125" customWidth="1"/>
    <col min="2" max="2" width="10" customWidth="1"/>
    <col min="11" max="11" width="10.5703125" customWidth="1"/>
    <col min="15" max="15" width="1.85546875" customWidth="1"/>
  </cols>
  <sheetData>
    <row r="1" spans="2:15" ht="13.9" customHeight="1" x14ac:dyDescent="0.25">
      <c r="B1" s="70" t="s">
        <v>315</v>
      </c>
      <c r="K1" s="344">
        <f>Summary!J1</f>
        <v>40823</v>
      </c>
      <c r="O1" s="8">
        <f>ROW()</f>
        <v>1</v>
      </c>
    </row>
    <row r="2" spans="2:15" ht="13.9" customHeight="1" x14ac:dyDescent="0.2">
      <c r="O2" s="8">
        <f>ROW()</f>
        <v>2</v>
      </c>
    </row>
    <row r="3" spans="2:15" ht="13.9" customHeight="1" x14ac:dyDescent="0.2">
      <c r="O3" s="8">
        <f>ROW()</f>
        <v>3</v>
      </c>
    </row>
    <row r="4" spans="2:15" ht="13.9" customHeight="1" x14ac:dyDescent="0.2">
      <c r="B4" s="9" t="s">
        <v>316</v>
      </c>
      <c r="O4" s="8">
        <f>ROW()</f>
        <v>4</v>
      </c>
    </row>
    <row r="5" spans="2:15" ht="13.9" customHeight="1" x14ac:dyDescent="0.2">
      <c r="O5" s="8">
        <f>ROW()</f>
        <v>5</v>
      </c>
    </row>
    <row r="6" spans="2:15" ht="13.9" customHeight="1" x14ac:dyDescent="0.2">
      <c r="B6" s="42" t="s">
        <v>318</v>
      </c>
      <c r="O6" s="8">
        <f>ROW()</f>
        <v>6</v>
      </c>
    </row>
    <row r="7" spans="2:15" ht="13.9" customHeight="1" x14ac:dyDescent="0.2">
      <c r="B7" s="172" t="s">
        <v>330</v>
      </c>
      <c r="J7" s="55">
        <v>1.2999999999999999E-2</v>
      </c>
      <c r="O7" s="8">
        <f>ROW()</f>
        <v>7</v>
      </c>
    </row>
    <row r="8" spans="2:15" ht="13.9" customHeight="1" x14ac:dyDescent="0.2">
      <c r="B8" s="172" t="s">
        <v>647</v>
      </c>
      <c r="J8" s="55">
        <v>1.4999999999999999E-2</v>
      </c>
      <c r="O8" s="8">
        <f>ROW()</f>
        <v>8</v>
      </c>
    </row>
    <row r="9" spans="2:15" ht="13.9" customHeight="1" x14ac:dyDescent="0.2">
      <c r="B9" s="172" t="s">
        <v>648</v>
      </c>
      <c r="J9" s="310">
        <v>0.02</v>
      </c>
      <c r="O9" s="8">
        <f>ROW()</f>
        <v>9</v>
      </c>
    </row>
    <row r="10" spans="2:15" ht="13.9" customHeight="1" x14ac:dyDescent="0.2">
      <c r="O10" s="8">
        <f>ROW()</f>
        <v>10</v>
      </c>
    </row>
    <row r="11" spans="2:15" ht="13.9" customHeight="1" x14ac:dyDescent="0.2">
      <c r="O11" s="8">
        <f>ROW()</f>
        <v>11</v>
      </c>
    </row>
    <row r="12" spans="2:15" ht="13.9" customHeight="1" x14ac:dyDescent="0.2">
      <c r="B12" s="9" t="s">
        <v>317</v>
      </c>
      <c r="O12" s="8">
        <f>ROW()</f>
        <v>12</v>
      </c>
    </row>
    <row r="13" spans="2:15" ht="13.9" customHeight="1" x14ac:dyDescent="0.2">
      <c r="B13" s="9"/>
      <c r="O13" s="8">
        <f>ROW()</f>
        <v>13</v>
      </c>
    </row>
    <row r="14" spans="2:15" ht="13.9" customHeight="1" x14ac:dyDescent="0.2">
      <c r="B14" t="s">
        <v>195</v>
      </c>
      <c r="I14" s="22"/>
      <c r="J14" s="22">
        <f>44/12</f>
        <v>3.6666666666666665</v>
      </c>
      <c r="O14" s="8">
        <f>ROW()</f>
        <v>14</v>
      </c>
    </row>
    <row r="15" spans="2:15" ht="13.9" customHeight="1" x14ac:dyDescent="0.2">
      <c r="B15" t="s">
        <v>189</v>
      </c>
      <c r="I15" s="20"/>
      <c r="J15" s="20">
        <v>2205</v>
      </c>
      <c r="O15" s="8">
        <f>ROW()</f>
        <v>15</v>
      </c>
    </row>
    <row r="16" spans="2:15" ht="13.9" customHeight="1" x14ac:dyDescent="0.2">
      <c r="B16" s="42" t="s">
        <v>335</v>
      </c>
      <c r="J16" s="20">
        <v>2000</v>
      </c>
      <c r="O16" s="8">
        <f>ROW()</f>
        <v>16</v>
      </c>
    </row>
    <row r="17" spans="2:20" ht="13.9" customHeight="1" x14ac:dyDescent="0.2">
      <c r="B17" s="42" t="s">
        <v>357</v>
      </c>
      <c r="J17" s="144">
        <v>453.59237000000002</v>
      </c>
      <c r="O17" s="8">
        <f>ROW()</f>
        <v>17</v>
      </c>
    </row>
    <row r="18" spans="2:20" ht="13.9" customHeight="1" x14ac:dyDescent="0.2">
      <c r="B18" s="42" t="s">
        <v>346</v>
      </c>
      <c r="J18">
        <v>42</v>
      </c>
      <c r="O18" s="8">
        <f>ROW()</f>
        <v>18</v>
      </c>
    </row>
    <row r="19" spans="2:20" ht="13.9" customHeight="1" x14ac:dyDescent="0.2">
      <c r="B19" s="42" t="s">
        <v>354</v>
      </c>
      <c r="J19">
        <v>365</v>
      </c>
      <c r="O19" s="8">
        <f>ROW()</f>
        <v>19</v>
      </c>
    </row>
    <row r="20" spans="2:20" ht="13.9" customHeight="1" x14ac:dyDescent="0.2">
      <c r="B20" s="42"/>
      <c r="N20" s="42"/>
      <c r="O20" s="8">
        <f>ROW()</f>
        <v>20</v>
      </c>
      <c r="P20" s="42"/>
      <c r="Q20" s="42"/>
      <c r="R20" s="42"/>
      <c r="S20" s="42"/>
      <c r="T20" s="42"/>
    </row>
    <row r="21" spans="2:20" ht="13.9" customHeight="1" x14ac:dyDescent="0.2">
      <c r="M21" s="42"/>
      <c r="N21" s="42"/>
      <c r="O21" s="8">
        <f>ROW()</f>
        <v>21</v>
      </c>
      <c r="P21" s="42"/>
      <c r="Q21" s="42"/>
      <c r="R21" s="42"/>
      <c r="S21" s="42"/>
      <c r="T21" s="42"/>
    </row>
    <row r="22" spans="2:20" s="42" customFormat="1" ht="13.9" customHeight="1" x14ac:dyDescent="0.2">
      <c r="B22" s="9" t="s">
        <v>328</v>
      </c>
      <c r="O22" s="8">
        <f>ROW()</f>
        <v>22</v>
      </c>
    </row>
    <row r="23" spans="2:20" s="42" customFormat="1" ht="13.9" customHeight="1" x14ac:dyDescent="0.2">
      <c r="B23" s="396" t="s">
        <v>329</v>
      </c>
      <c r="C23" s="392"/>
      <c r="D23" s="392"/>
      <c r="E23" s="392"/>
      <c r="F23" s="392"/>
      <c r="G23" s="392"/>
      <c r="H23" s="392"/>
      <c r="I23" s="392"/>
      <c r="J23" s="392"/>
      <c r="O23" s="8">
        <f>ROW()</f>
        <v>23</v>
      </c>
    </row>
    <row r="24" spans="2:20" ht="13.9" customHeight="1" x14ac:dyDescent="0.2">
      <c r="B24" s="392"/>
      <c r="C24" s="392"/>
      <c r="D24" s="392"/>
      <c r="E24" s="392"/>
      <c r="F24" s="392"/>
      <c r="G24" s="392"/>
      <c r="H24" s="392"/>
      <c r="I24" s="392"/>
      <c r="J24" s="392"/>
      <c r="O24" s="8">
        <f>ROW()</f>
        <v>24</v>
      </c>
    </row>
    <row r="25" spans="2:20" ht="13.9" customHeight="1" x14ac:dyDescent="0.2">
      <c r="B25" s="239"/>
      <c r="C25" s="239"/>
      <c r="D25" s="408" t="s">
        <v>482</v>
      </c>
      <c r="E25" s="239"/>
      <c r="F25" s="239"/>
      <c r="G25" s="239"/>
      <c r="H25" s="239"/>
      <c r="I25" s="239"/>
      <c r="J25" s="239"/>
      <c r="O25" s="8">
        <f>ROW()</f>
        <v>25</v>
      </c>
    </row>
    <row r="26" spans="2:20" ht="13.9" customHeight="1" x14ac:dyDescent="0.2">
      <c r="B26" s="219">
        <v>2000</v>
      </c>
      <c r="C26" s="21">
        <v>11226</v>
      </c>
      <c r="D26" s="408"/>
      <c r="O26" s="8">
        <f>ROW()</f>
        <v>26</v>
      </c>
    </row>
    <row r="27" spans="2:20" ht="13.9" customHeight="1" x14ac:dyDescent="0.2">
      <c r="B27" s="219">
        <v>2001</v>
      </c>
      <c r="C27" s="21">
        <v>11347.2</v>
      </c>
      <c r="D27" s="25">
        <f>C27/C26</f>
        <v>1.0107963655799039</v>
      </c>
      <c r="O27" s="8">
        <f>ROW()</f>
        <v>27</v>
      </c>
    </row>
    <row r="28" spans="2:20" ht="13.9" customHeight="1" x14ac:dyDescent="0.2">
      <c r="B28" s="219">
        <v>2002</v>
      </c>
      <c r="C28" s="21">
        <v>11553</v>
      </c>
      <c r="D28" s="25">
        <f t="shared" ref="D28:D36" si="0">C28/C27</f>
        <v>1.0181366328257191</v>
      </c>
      <c r="O28" s="8">
        <f>ROW()</f>
        <v>28</v>
      </c>
    </row>
    <row r="29" spans="2:20" ht="13.9" customHeight="1" x14ac:dyDescent="0.2">
      <c r="B29" s="219">
        <v>2003</v>
      </c>
      <c r="C29" s="21">
        <v>11840.7</v>
      </c>
      <c r="D29" s="25">
        <f t="shared" si="0"/>
        <v>1.0249026226954039</v>
      </c>
      <c r="O29" s="8">
        <f>ROW()</f>
        <v>29</v>
      </c>
    </row>
    <row r="30" spans="2:20" ht="13.9" customHeight="1" x14ac:dyDescent="0.2">
      <c r="B30" s="220">
        <v>2004</v>
      </c>
      <c r="C30" s="21">
        <v>12263.8</v>
      </c>
      <c r="D30" s="25">
        <f t="shared" si="0"/>
        <v>1.0357326847230315</v>
      </c>
      <c r="O30" s="8">
        <f>ROW()</f>
        <v>30</v>
      </c>
    </row>
    <row r="31" spans="2:20" ht="13.9" customHeight="1" x14ac:dyDescent="0.2">
      <c r="B31" s="220">
        <v>2005</v>
      </c>
      <c r="C31" s="21">
        <v>12638.4</v>
      </c>
      <c r="D31" s="25">
        <f t="shared" si="0"/>
        <v>1.0305451817544318</v>
      </c>
      <c r="O31" s="8">
        <f>ROW()</f>
        <v>31</v>
      </c>
    </row>
    <row r="32" spans="2:20" ht="13.9" customHeight="1" x14ac:dyDescent="0.2">
      <c r="B32" s="220">
        <v>2006</v>
      </c>
      <c r="C32" s="21">
        <v>12976.2</v>
      </c>
      <c r="D32" s="25">
        <f t="shared" si="0"/>
        <v>1.0267280668439043</v>
      </c>
      <c r="O32" s="8">
        <f>ROW()</f>
        <v>32</v>
      </c>
    </row>
    <row r="33" spans="2:16" ht="13.9" customHeight="1" x14ac:dyDescent="0.2">
      <c r="B33" s="220">
        <v>2007</v>
      </c>
      <c r="C33" s="21">
        <v>13228.9</v>
      </c>
      <c r="D33" s="25">
        <f t="shared" si="0"/>
        <v>1.019474114147439</v>
      </c>
      <c r="O33" s="8">
        <f>ROW()</f>
        <v>33</v>
      </c>
    </row>
    <row r="34" spans="2:16" ht="13.9" customHeight="1" x14ac:dyDescent="0.2">
      <c r="B34" s="220">
        <v>2008</v>
      </c>
      <c r="C34" s="21">
        <v>13228.8</v>
      </c>
      <c r="D34" s="25">
        <f t="shared" si="0"/>
        <v>0.99999244079250726</v>
      </c>
      <c r="O34" s="8">
        <f>ROW()</f>
        <v>34</v>
      </c>
    </row>
    <row r="35" spans="2:16" ht="13.9" customHeight="1" x14ac:dyDescent="0.2">
      <c r="B35" s="221">
        <v>2009</v>
      </c>
      <c r="C35" s="21">
        <v>12880.6</v>
      </c>
      <c r="D35" s="25">
        <f t="shared" si="0"/>
        <v>0.97367864054184816</v>
      </c>
      <c r="O35" s="8">
        <f>ROW()</f>
        <v>35</v>
      </c>
    </row>
    <row r="36" spans="2:16" ht="13.9" customHeight="1" x14ac:dyDescent="0.2">
      <c r="B36" s="221">
        <v>2010</v>
      </c>
      <c r="C36" s="21">
        <v>13248.2</v>
      </c>
      <c r="D36" s="25">
        <f t="shared" si="0"/>
        <v>1.0285390432122727</v>
      </c>
      <c r="O36" s="8">
        <f>ROW()</f>
        <v>36</v>
      </c>
    </row>
    <row r="37" spans="2:16" ht="13.9" customHeight="1" x14ac:dyDescent="0.2">
      <c r="B37" s="221">
        <v>2011</v>
      </c>
      <c r="D37" s="25">
        <v>1.0189335364399399</v>
      </c>
      <c r="O37" s="8">
        <f>ROW()</f>
        <v>37</v>
      </c>
    </row>
    <row r="38" spans="2:16" ht="13.9" customHeight="1" x14ac:dyDescent="0.2">
      <c r="O38" s="8">
        <f>ROW()</f>
        <v>38</v>
      </c>
    </row>
    <row r="39" spans="2:16" ht="13.9" customHeight="1" x14ac:dyDescent="0.2">
      <c r="O39" s="8">
        <f>ROW()</f>
        <v>39</v>
      </c>
    </row>
    <row r="40" spans="2:16" ht="13.9" customHeight="1" x14ac:dyDescent="0.2">
      <c r="B40" s="9" t="s">
        <v>658</v>
      </c>
      <c r="O40" s="8">
        <f>ROW()</f>
        <v>40</v>
      </c>
    </row>
    <row r="41" spans="2:16" ht="13.9" customHeight="1" x14ac:dyDescent="0.2">
      <c r="F41" s="13" t="s">
        <v>524</v>
      </c>
      <c r="G41" s="13" t="s">
        <v>525</v>
      </c>
      <c r="O41" s="8">
        <f>ROW()</f>
        <v>41</v>
      </c>
    </row>
    <row r="42" spans="2:16" ht="13.9" customHeight="1" x14ac:dyDescent="0.2">
      <c r="B42" s="42" t="s">
        <v>186</v>
      </c>
      <c r="F42">
        <v>-0.7</v>
      </c>
      <c r="G42">
        <v>0.75</v>
      </c>
      <c r="O42" s="8">
        <f>ROW()</f>
        <v>42</v>
      </c>
    </row>
    <row r="43" spans="2:16" ht="13.9" customHeight="1" x14ac:dyDescent="0.2">
      <c r="B43" s="396" t="s">
        <v>173</v>
      </c>
      <c r="C43" s="392"/>
      <c r="D43" s="392"/>
      <c r="E43" s="392"/>
      <c r="F43" s="392"/>
      <c r="G43" s="392"/>
      <c r="H43" s="392"/>
      <c r="I43" s="392"/>
      <c r="J43" s="392"/>
      <c r="K43" s="392"/>
      <c r="L43" s="392"/>
      <c r="M43" s="392"/>
      <c r="N43" s="392"/>
      <c r="O43" s="8">
        <f>ROW()</f>
        <v>43</v>
      </c>
    </row>
    <row r="44" spans="2:16" ht="13.9" customHeight="1" x14ac:dyDescent="0.2">
      <c r="B44" s="392"/>
      <c r="C44" s="392"/>
      <c r="D44" s="392"/>
      <c r="E44" s="392"/>
      <c r="F44" s="392"/>
      <c r="G44" s="392"/>
      <c r="H44" s="392"/>
      <c r="I44" s="392"/>
      <c r="J44" s="392"/>
      <c r="K44" s="392"/>
      <c r="L44" s="392"/>
      <c r="M44" s="392"/>
      <c r="N44" s="392"/>
      <c r="O44" s="8">
        <f>ROW()</f>
        <v>44</v>
      </c>
      <c r="P44" s="95"/>
    </row>
    <row r="45" spans="2:16" ht="13.9" customHeight="1" x14ac:dyDescent="0.2">
      <c r="B45" s="42" t="s">
        <v>532</v>
      </c>
      <c r="F45">
        <v>-0.4</v>
      </c>
      <c r="G45" s="7">
        <f>2/3</f>
        <v>0.66666666666666663</v>
      </c>
      <c r="O45" s="8">
        <f>ROW()</f>
        <v>45</v>
      </c>
      <c r="P45" s="95"/>
    </row>
    <row r="46" spans="2:16" ht="13.9" customHeight="1" x14ac:dyDescent="0.2">
      <c r="B46" s="42" t="s">
        <v>551</v>
      </c>
      <c r="F46">
        <v>-0.4</v>
      </c>
      <c r="G46">
        <f>3/4</f>
        <v>0.75</v>
      </c>
      <c r="O46" s="8">
        <f>ROW()</f>
        <v>46</v>
      </c>
      <c r="P46" s="95"/>
    </row>
    <row r="47" spans="2:16" ht="13.9" customHeight="1" x14ac:dyDescent="0.2">
      <c r="B47" s="42" t="s">
        <v>560</v>
      </c>
      <c r="F47">
        <f>F45*1.5</f>
        <v>-0.60000000000000009</v>
      </c>
      <c r="G47" s="7">
        <v>1</v>
      </c>
      <c r="O47" s="8">
        <f>ROW()</f>
        <v>47</v>
      </c>
      <c r="P47" s="95"/>
    </row>
    <row r="48" spans="2:16" ht="13.9" customHeight="1" x14ac:dyDescent="0.2">
      <c r="B48" s="42" t="s">
        <v>568</v>
      </c>
      <c r="C48" s="239"/>
      <c r="D48" s="239"/>
      <c r="E48" s="239"/>
      <c r="F48">
        <v>-0.5</v>
      </c>
      <c r="G48">
        <f>3/4</f>
        <v>0.75</v>
      </c>
      <c r="H48" s="239"/>
      <c r="I48" s="239"/>
      <c r="J48" s="239"/>
      <c r="K48" s="239"/>
      <c r="L48" s="239"/>
      <c r="M48" s="239"/>
      <c r="N48" s="239"/>
      <c r="O48" s="8">
        <f>ROW()</f>
        <v>48</v>
      </c>
      <c r="P48" s="95"/>
    </row>
    <row r="49" spans="2:16" ht="13.9" customHeight="1" x14ac:dyDescent="0.2">
      <c r="B49" s="239"/>
      <c r="C49" s="239"/>
      <c r="D49" s="239"/>
      <c r="E49" s="239"/>
      <c r="F49" s="239"/>
      <c r="G49" s="239"/>
      <c r="H49" s="239"/>
      <c r="I49" s="239"/>
      <c r="J49" s="239"/>
      <c r="K49" s="239"/>
      <c r="L49" s="239"/>
      <c r="M49" s="239"/>
      <c r="N49" s="239"/>
      <c r="O49" s="8">
        <f>ROW()</f>
        <v>49</v>
      </c>
      <c r="P49" s="95"/>
    </row>
    <row r="50" spans="2:16" ht="13.9" customHeight="1" x14ac:dyDescent="0.2">
      <c r="B50" s="239"/>
      <c r="C50" s="239"/>
      <c r="D50" s="239"/>
      <c r="E50" s="239"/>
      <c r="F50" s="239"/>
      <c r="G50" s="239"/>
      <c r="H50" s="239"/>
      <c r="I50" s="239"/>
      <c r="J50" s="239"/>
      <c r="K50" s="239"/>
      <c r="L50" s="239"/>
      <c r="M50" s="239"/>
      <c r="N50" s="239"/>
      <c r="O50" s="8">
        <f>ROW()</f>
        <v>50</v>
      </c>
      <c r="P50" s="95"/>
    </row>
  </sheetData>
  <mergeCells count="3">
    <mergeCell ref="B23:J24"/>
    <mergeCell ref="D25:D26"/>
    <mergeCell ref="B43:N4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403"/>
  <sheetViews>
    <sheetView topLeftCell="Q376" workbookViewId="0"/>
  </sheetViews>
  <sheetFormatPr defaultRowHeight="13.9" customHeight="1" x14ac:dyDescent="0.2"/>
  <cols>
    <col min="1" max="1" width="2.5703125" customWidth="1"/>
    <col min="9" max="9" width="9.28515625" bestFit="1" customWidth="1"/>
    <col min="11" max="12" width="9.28515625" customWidth="1"/>
    <col min="13" max="13" width="9.28515625" style="30" customWidth="1"/>
    <col min="14" max="15" width="9.28515625" style="84" customWidth="1"/>
    <col min="16" max="16" width="9.28515625" customWidth="1"/>
    <col min="23" max="23" width="9.5703125" bestFit="1" customWidth="1"/>
    <col min="24" max="25" width="9.28515625" bestFit="1" customWidth="1"/>
    <col min="26" max="30" width="9.5703125" bestFit="1" customWidth="1"/>
    <col min="31" max="31" width="9.28515625" bestFit="1" customWidth="1"/>
    <col min="32" max="32" width="9.5703125" bestFit="1" customWidth="1"/>
    <col min="33" max="33" width="9.28515625" bestFit="1" customWidth="1"/>
    <col min="34" max="35" width="9.5703125" bestFit="1" customWidth="1"/>
    <col min="36" max="38" width="9.28515625" bestFit="1" customWidth="1"/>
    <col min="41" max="41" width="1.85546875" customWidth="1"/>
  </cols>
  <sheetData>
    <row r="1" spans="2:41" ht="13.9" customHeight="1" x14ac:dyDescent="0.25">
      <c r="B1" s="70" t="s">
        <v>186</v>
      </c>
      <c r="M1" s="345">
        <f>Summary!J1</f>
        <v>40823</v>
      </c>
      <c r="AO1" s="7">
        <f>ROW()</f>
        <v>1</v>
      </c>
    </row>
    <row r="2" spans="2:41" ht="13.9" customHeight="1" x14ac:dyDescent="0.2">
      <c r="B2" s="1"/>
      <c r="M2" s="84"/>
      <c r="AO2" s="7">
        <f>ROW()</f>
        <v>2</v>
      </c>
    </row>
    <row r="3" spans="2:41" ht="13.9" customHeight="1" x14ac:dyDescent="0.2">
      <c r="B3" s="390" t="s">
        <v>323</v>
      </c>
      <c r="C3" s="449"/>
      <c r="D3" s="449"/>
      <c r="E3" s="449"/>
      <c r="F3" s="449"/>
      <c r="G3" s="128"/>
      <c r="H3" s="84"/>
      <c r="I3" s="84"/>
      <c r="J3" s="84"/>
      <c r="K3" s="426" t="s">
        <v>137</v>
      </c>
      <c r="L3" s="424" t="s">
        <v>360</v>
      </c>
      <c r="M3" s="424" t="s">
        <v>360</v>
      </c>
      <c r="N3" s="397" t="s">
        <v>282</v>
      </c>
      <c r="O3" s="398"/>
      <c r="P3" s="393" t="s">
        <v>138</v>
      </c>
      <c r="AO3" s="7">
        <f>ROW()</f>
        <v>3</v>
      </c>
    </row>
    <row r="4" spans="2:41" ht="13.9" customHeight="1" x14ac:dyDescent="0.2">
      <c r="B4" s="449"/>
      <c r="C4" s="449"/>
      <c r="D4" s="449"/>
      <c r="E4" s="449"/>
      <c r="F4" s="449"/>
      <c r="G4" s="128"/>
      <c r="K4" s="427"/>
      <c r="L4" s="425"/>
      <c r="M4" s="425"/>
      <c r="N4" s="399"/>
      <c r="O4" s="398"/>
      <c r="P4" s="394"/>
      <c r="AO4" s="7">
        <f>ROW()</f>
        <v>4</v>
      </c>
    </row>
    <row r="5" spans="2:41" ht="13.9" customHeight="1" x14ac:dyDescent="0.2">
      <c r="B5" s="449"/>
      <c r="C5" s="449"/>
      <c r="D5" s="449"/>
      <c r="E5" s="449"/>
      <c r="F5" s="449"/>
      <c r="G5" s="128"/>
      <c r="H5" s="129"/>
      <c r="I5" s="129"/>
      <c r="J5" s="129"/>
      <c r="K5" s="427"/>
      <c r="L5" s="425"/>
      <c r="M5" s="425"/>
      <c r="N5" s="399"/>
      <c r="O5" s="398"/>
      <c r="P5" s="394"/>
      <c r="AO5" s="7">
        <f>ROW()</f>
        <v>5</v>
      </c>
    </row>
    <row r="6" spans="2:41" ht="13.9" customHeight="1" x14ac:dyDescent="0.2">
      <c r="B6" s="1"/>
      <c r="H6" s="3"/>
      <c r="I6" s="3"/>
      <c r="J6" s="3"/>
      <c r="K6" s="428"/>
      <c r="L6" s="425"/>
      <c r="M6" s="425"/>
      <c r="N6" s="399"/>
      <c r="O6" s="398"/>
      <c r="P6" s="395"/>
      <c r="AO6" s="7">
        <f>ROW()</f>
        <v>6</v>
      </c>
    </row>
    <row r="7" spans="2:41" ht="13.9" customHeight="1" x14ac:dyDescent="0.2">
      <c r="B7" s="14" t="s">
        <v>609</v>
      </c>
      <c r="H7" s="3"/>
      <c r="I7" s="165"/>
      <c r="J7" s="131"/>
      <c r="K7" s="170">
        <v>2007</v>
      </c>
      <c r="L7" s="242">
        <v>2008</v>
      </c>
      <c r="M7" s="242">
        <v>2009</v>
      </c>
      <c r="N7" s="242">
        <v>2010</v>
      </c>
      <c r="O7" s="170">
        <v>2011</v>
      </c>
      <c r="P7" s="130">
        <f>Summary!P115</f>
        <v>2012</v>
      </c>
      <c r="Q7" s="13">
        <f t="shared" ref="Q7:AL7" si="0">P7+1</f>
        <v>2013</v>
      </c>
      <c r="R7" s="13">
        <f t="shared" si="0"/>
        <v>2014</v>
      </c>
      <c r="S7" s="13">
        <f t="shared" si="0"/>
        <v>2015</v>
      </c>
      <c r="T7" s="13">
        <f t="shared" si="0"/>
        <v>2016</v>
      </c>
      <c r="U7" s="13">
        <f t="shared" si="0"/>
        <v>2017</v>
      </c>
      <c r="V7" s="13">
        <f t="shared" si="0"/>
        <v>2018</v>
      </c>
      <c r="W7" s="13">
        <f t="shared" si="0"/>
        <v>2019</v>
      </c>
      <c r="X7" s="13">
        <f t="shared" si="0"/>
        <v>2020</v>
      </c>
      <c r="Y7" s="13">
        <f t="shared" si="0"/>
        <v>2021</v>
      </c>
      <c r="Z7" s="13">
        <f t="shared" si="0"/>
        <v>2022</v>
      </c>
      <c r="AA7" s="13">
        <f t="shared" si="0"/>
        <v>2023</v>
      </c>
      <c r="AB7" s="13">
        <f t="shared" si="0"/>
        <v>2024</v>
      </c>
      <c r="AC7" s="13">
        <f t="shared" si="0"/>
        <v>2025</v>
      </c>
      <c r="AD7" s="13">
        <f t="shared" si="0"/>
        <v>2026</v>
      </c>
      <c r="AE7" s="13">
        <f t="shared" si="0"/>
        <v>2027</v>
      </c>
      <c r="AF7" s="13">
        <f t="shared" si="0"/>
        <v>2028</v>
      </c>
      <c r="AG7" s="13">
        <f t="shared" si="0"/>
        <v>2029</v>
      </c>
      <c r="AH7" s="13">
        <f t="shared" si="0"/>
        <v>2030</v>
      </c>
      <c r="AI7" s="13">
        <f t="shared" si="0"/>
        <v>2031</v>
      </c>
      <c r="AJ7" s="13">
        <f t="shared" si="0"/>
        <v>2032</v>
      </c>
      <c r="AK7" s="13">
        <f t="shared" si="0"/>
        <v>2033</v>
      </c>
      <c r="AL7" s="13">
        <f t="shared" si="0"/>
        <v>2034</v>
      </c>
      <c r="AO7" s="7">
        <f>ROW()</f>
        <v>7</v>
      </c>
    </row>
    <row r="8" spans="2:41" ht="13.9" customHeight="1" x14ac:dyDescent="0.2">
      <c r="H8" s="63"/>
      <c r="I8" s="63"/>
      <c r="J8" s="63"/>
      <c r="K8" s="13"/>
      <c r="L8" s="241"/>
      <c r="M8" s="241"/>
      <c r="N8" s="241"/>
      <c r="O8" s="203"/>
      <c r="P8" s="62"/>
      <c r="Q8" s="13"/>
      <c r="R8" s="13"/>
      <c r="S8" s="13"/>
      <c r="T8" s="13"/>
      <c r="U8" s="13"/>
      <c r="V8" s="13"/>
      <c r="W8" s="13"/>
      <c r="X8" s="13"/>
      <c r="Y8" s="13"/>
      <c r="Z8" s="13"/>
      <c r="AA8" s="13"/>
      <c r="AB8" s="13"/>
      <c r="AC8" s="13"/>
      <c r="AD8" s="13"/>
      <c r="AE8" s="13"/>
      <c r="AF8" s="13"/>
      <c r="AG8" s="13"/>
      <c r="AH8" s="13"/>
      <c r="AI8" s="13"/>
      <c r="AJ8" s="13"/>
      <c r="AK8" s="13"/>
      <c r="AL8" s="13"/>
      <c r="AO8" s="7">
        <f>ROW()</f>
        <v>8</v>
      </c>
    </row>
    <row r="9" spans="2:41" ht="13.9" customHeight="1" x14ac:dyDescent="0.2">
      <c r="B9" s="64" t="s">
        <v>8</v>
      </c>
      <c r="H9" s="63"/>
      <c r="I9" s="63"/>
      <c r="J9" s="63"/>
      <c r="K9" s="13"/>
      <c r="L9" s="13"/>
      <c r="M9" s="203"/>
      <c r="N9" s="203"/>
      <c r="O9" s="203"/>
      <c r="P9" s="62"/>
      <c r="Q9" s="13"/>
      <c r="R9" s="13"/>
      <c r="S9" s="13"/>
      <c r="T9" s="13"/>
      <c r="U9" s="13"/>
      <c r="V9" s="13"/>
      <c r="W9" s="13"/>
      <c r="X9" s="13"/>
      <c r="Y9" s="13"/>
      <c r="Z9" s="13"/>
      <c r="AA9" s="13"/>
      <c r="AB9" s="13"/>
      <c r="AC9" s="13"/>
      <c r="AD9" s="13"/>
      <c r="AE9" s="13"/>
      <c r="AF9" s="13"/>
      <c r="AG9" s="13"/>
      <c r="AH9" s="13"/>
      <c r="AI9" s="13"/>
      <c r="AJ9" s="13"/>
      <c r="AK9" s="13"/>
      <c r="AL9" s="13"/>
      <c r="AO9" s="7">
        <f>ROW()</f>
        <v>9</v>
      </c>
    </row>
    <row r="10" spans="2:41" ht="13.9" customHeight="1" x14ac:dyDescent="0.2">
      <c r="B10" s="71" t="s">
        <v>301</v>
      </c>
      <c r="M10" s="84"/>
      <c r="AO10" s="7">
        <f>ROW()</f>
        <v>10</v>
      </c>
    </row>
    <row r="11" spans="2:41" ht="13.9" customHeight="1" x14ac:dyDescent="0.2">
      <c r="B11" s="64" t="s">
        <v>439</v>
      </c>
      <c r="I11" s="274">
        <f>Summary!$J$76</f>
        <v>10</v>
      </c>
      <c r="J11" s="471" t="str">
        <f>CONCATENATE("Do not type in two boxes at left. Quantities in those boxes are inputted automatically from Cells I",Summary!$AN$76,", I",Summary!$AN$78,", I",Summary!$AN$80,", and I",Summary!$AN$85," in 'Summary' worksheet. ",)</f>
        <v xml:space="preserve">Do not type in two boxes at left. Quantities in those boxes are inputted automatically from Cells I76, I78, I80, and I85 in 'Summary' worksheet. </v>
      </c>
      <c r="K11" s="472"/>
      <c r="L11" s="472"/>
      <c r="M11" s="472"/>
      <c r="N11" s="472"/>
      <c r="O11" s="473"/>
      <c r="AO11" s="7">
        <f>ROW()</f>
        <v>11</v>
      </c>
    </row>
    <row r="12" spans="2:41" ht="13.9" customHeight="1" x14ac:dyDescent="0.2">
      <c r="B12" s="64" t="s">
        <v>438</v>
      </c>
      <c r="I12" s="274">
        <f>IF(Summary!J78=1,MAX(Summary!J80, 0.0001),Summary!J85)</f>
        <v>0.1</v>
      </c>
      <c r="J12" s="474"/>
      <c r="K12" s="475"/>
      <c r="L12" s="475"/>
      <c r="M12" s="475"/>
      <c r="N12" s="475"/>
      <c r="O12" s="476"/>
      <c r="AO12" s="7">
        <f>ROW()</f>
        <v>12</v>
      </c>
    </row>
    <row r="13" spans="2:41" ht="13.9" customHeight="1" x14ac:dyDescent="0.2">
      <c r="B13" s="110" t="str">
        <f>CONCATENATE("Note: Cell H",AO12, " is formulated as greater of (i) value entered in Summary, and (ii) 0.0001, to allow carbon tax rate to be set to zero; otherwise, zero would appear in denominator of some cells.")</f>
        <v>Note: Cell H12 is formulated as greater of (i) value entered in Summary, and (ii) 0.0001, to allow carbon tax rate to be set to zero; otherwise, zero would appear in denominator of some cells.</v>
      </c>
      <c r="H13" s="61"/>
      <c r="I13" s="61"/>
      <c r="J13" s="61"/>
      <c r="AO13" s="7">
        <f>ROW()</f>
        <v>13</v>
      </c>
    </row>
    <row r="14" spans="2:41" ht="13.9" customHeight="1" x14ac:dyDescent="0.2">
      <c r="B14" s="110"/>
      <c r="H14" s="61"/>
      <c r="I14" s="61"/>
      <c r="J14" s="61"/>
      <c r="M14" s="84"/>
      <c r="AO14" s="7">
        <f>ROW()</f>
        <v>14</v>
      </c>
    </row>
    <row r="15" spans="2:41" ht="13.9" customHeight="1" x14ac:dyDescent="0.2">
      <c r="B15" s="42" t="str">
        <f>CONCATENATE("Is year at top of column equal to or greater than tax-start year (which was inputted in Summary tab, Cell H",Summary!$AN$98, ")?")</f>
        <v>Is year at top of column equal to or greater than tax-start year (which was inputted in Summary tab, Cell H98)?</v>
      </c>
      <c r="H15" s="2"/>
      <c r="I15" s="2"/>
      <c r="J15" s="2"/>
      <c r="M15" s="57" t="str">
        <f>IF(M$7&gt;=Summary!$J98,"YES","NO")</f>
        <v>NO</v>
      </c>
      <c r="N15" s="57" t="str">
        <f>IF(N$7&gt;=Summary!$J98,"YES","NO")</f>
        <v>NO</v>
      </c>
      <c r="O15" s="57" t="str">
        <f>IF(O$7&gt;=Summary!$J98,"YES","NO")</f>
        <v>NO</v>
      </c>
      <c r="P15" s="57" t="str">
        <f>IF(P$7&gt;=Summary!$J98,"YES","NO")</f>
        <v>YES</v>
      </c>
      <c r="Q15" s="57" t="str">
        <f>IF(Q$7&gt;=Summary!$J98,"YES","NO")</f>
        <v>YES</v>
      </c>
      <c r="R15" s="57" t="str">
        <f>IF(R$7&gt;=Summary!$J98,"YES","NO")</f>
        <v>YES</v>
      </c>
      <c r="S15" s="57" t="str">
        <f>IF(S$7&gt;=Summary!$J98,"YES","NO")</f>
        <v>YES</v>
      </c>
      <c r="T15" s="57" t="str">
        <f>IF(T$7&gt;=Summary!$J98,"YES","NO")</f>
        <v>YES</v>
      </c>
      <c r="U15" s="57" t="str">
        <f>IF(U$7&gt;=Summary!$J98,"YES","NO")</f>
        <v>YES</v>
      </c>
      <c r="V15" s="57" t="str">
        <f>IF(V$7&gt;=Summary!$J98,"YES","NO")</f>
        <v>YES</v>
      </c>
      <c r="W15" s="57" t="str">
        <f>IF(W$7&gt;=Summary!$J98,"YES","NO")</f>
        <v>YES</v>
      </c>
      <c r="X15" s="57" t="str">
        <f>IF(X$7&gt;=Summary!$J98,"YES","NO")</f>
        <v>YES</v>
      </c>
      <c r="Y15" s="57" t="str">
        <f>IF(Y$7&gt;=Summary!$J98,"YES","NO")</f>
        <v>YES</v>
      </c>
      <c r="Z15" s="57" t="str">
        <f>IF(Z$7&gt;=Summary!$J98,"YES","NO")</f>
        <v>YES</v>
      </c>
      <c r="AA15" s="57" t="str">
        <f>IF(AA$7&gt;=Summary!$J98,"YES","NO")</f>
        <v>YES</v>
      </c>
      <c r="AB15" s="57" t="str">
        <f>IF(AB$7&gt;=Summary!$J98,"YES","NO")</f>
        <v>YES</v>
      </c>
      <c r="AC15" s="57" t="str">
        <f>IF(AC$7&gt;=Summary!$J98,"YES","NO")</f>
        <v>YES</v>
      </c>
      <c r="AD15" s="57" t="str">
        <f>IF(AD$7&gt;=Summary!$J98,"YES","NO")</f>
        <v>YES</v>
      </c>
      <c r="AE15" s="57" t="str">
        <f>IF(AE$7&gt;=Summary!$J98,"YES","NO")</f>
        <v>YES</v>
      </c>
      <c r="AF15" s="57" t="str">
        <f>IF(AF$7&gt;=Summary!$J98,"YES","NO")</f>
        <v>YES</v>
      </c>
      <c r="AG15" s="57" t="str">
        <f>IF(AG$7&gt;=Summary!$J98,"YES","NO")</f>
        <v>YES</v>
      </c>
      <c r="AH15" s="57" t="str">
        <f>IF(AH$7&gt;=Summary!$J98,"YES","NO")</f>
        <v>YES</v>
      </c>
      <c r="AI15" s="57" t="str">
        <f>IF(AI$7&gt;=Summary!$J98,"YES","NO")</f>
        <v>YES</v>
      </c>
      <c r="AJ15" s="57" t="str">
        <f>IF(AJ$7&gt;=Summary!$J98,"YES","NO")</f>
        <v>YES</v>
      </c>
      <c r="AK15" s="57" t="str">
        <f>IF(AK$7&gt;=Summary!$J98,"YES","NO")</f>
        <v>YES</v>
      </c>
      <c r="AL15" s="57" t="str">
        <f>IF(AL$7&gt;=Summary!$J98,"YES","NO")</f>
        <v>YES</v>
      </c>
      <c r="AO15" s="7">
        <f>ROW()</f>
        <v>15</v>
      </c>
    </row>
    <row r="16" spans="2:41" ht="13.9" customHeight="1" x14ac:dyDescent="0.2">
      <c r="B16" s="42" t="str">
        <f>CONCATENATE("Is year at top of column equal to or greater than final tax year (which was inputted in Summary tab, Cell H",Summary!$AN$110, ")?")</f>
        <v>Is year at top of column equal to or greater than final tax year (which was inputted in Summary tab, Cell H110)?</v>
      </c>
      <c r="H16" s="2"/>
      <c r="I16" s="2"/>
      <c r="J16" s="2"/>
      <c r="M16" s="57" t="str">
        <f>IF(M$7&gt;Summary!$J99,"YES","NO")</f>
        <v>NO</v>
      </c>
      <c r="N16" s="57" t="str">
        <f>IF(N$7&gt;Summary!$J99,"YES","NO")</f>
        <v>NO</v>
      </c>
      <c r="O16" s="57" t="str">
        <f>IF(O$7&gt;Summary!$J99,"YES","NO")</f>
        <v>NO</v>
      </c>
      <c r="P16" s="57" t="str">
        <f>IF(P$7&gt;Summary!$J99,"YES","NO")</f>
        <v>NO</v>
      </c>
      <c r="Q16" s="57" t="str">
        <f>IF(Q$7&gt;Summary!$J99,"YES","NO")</f>
        <v>NO</v>
      </c>
      <c r="R16" s="57" t="str">
        <f>IF(R$7&gt;Summary!$J99,"YES","NO")</f>
        <v>NO</v>
      </c>
      <c r="S16" s="57" t="str">
        <f>IF(S$7&gt;Summary!$J99,"YES","NO")</f>
        <v>NO</v>
      </c>
      <c r="T16" s="57" t="str">
        <f>IF(T$7&gt;Summary!$J99,"YES","NO")</f>
        <v>NO</v>
      </c>
      <c r="U16" s="57" t="str">
        <f>IF(U$7&gt;Summary!$J99,"YES","NO")</f>
        <v>NO</v>
      </c>
      <c r="V16" s="57" t="str">
        <f>IF(V$7&gt;Summary!$J99,"YES","NO")</f>
        <v>NO</v>
      </c>
      <c r="W16" s="57" t="str">
        <f>IF(W$7&gt;Summary!$J99,"YES","NO")</f>
        <v>NO</v>
      </c>
      <c r="X16" s="57" t="str">
        <f>IF(X$7&gt;Summary!$J99,"YES","NO")</f>
        <v>NO</v>
      </c>
      <c r="Y16" s="57" t="str">
        <f>IF(Y$7&gt;Summary!$J99,"YES","NO")</f>
        <v>NO</v>
      </c>
      <c r="Z16" s="57" t="str">
        <f>IF(Z$7&gt;Summary!$J99,"YES","NO")</f>
        <v>NO</v>
      </c>
      <c r="AA16" s="57" t="str">
        <f>IF(AA$7&gt;Summary!$J99,"YES","NO")</f>
        <v>NO</v>
      </c>
      <c r="AB16" s="57" t="str">
        <f>IF(AB$7&gt;Summary!$J99,"YES","NO")</f>
        <v>NO</v>
      </c>
      <c r="AC16" s="57" t="str">
        <f>IF(AC$7&gt;Summary!$J99,"YES","NO")</f>
        <v>NO</v>
      </c>
      <c r="AD16" s="57" t="str">
        <f>IF(AD$7&gt;Summary!$J99,"YES","NO")</f>
        <v>NO</v>
      </c>
      <c r="AE16" s="57" t="str">
        <f>IF(AE$7&gt;Summary!$J99,"YES","NO")</f>
        <v>YES</v>
      </c>
      <c r="AF16" s="57" t="str">
        <f>IF(AF$7&gt;Summary!$J99,"YES","NO")</f>
        <v>YES</v>
      </c>
      <c r="AG16" s="57" t="str">
        <f>IF(AG$7&gt;Summary!$J99,"YES","NO")</f>
        <v>YES</v>
      </c>
      <c r="AH16" s="57" t="str">
        <f>IF(AH$7&gt;Summary!$J99,"YES","NO")</f>
        <v>YES</v>
      </c>
      <c r="AI16" s="57" t="str">
        <f>IF(AI$7&gt;Summary!$J99,"YES","NO")</f>
        <v>YES</v>
      </c>
      <c r="AJ16" s="57" t="str">
        <f>IF(AJ$7&gt;Summary!$J99,"YES","NO")</f>
        <v>YES</v>
      </c>
      <c r="AK16" s="57" t="str">
        <f>IF(AK$7&gt;Summary!$J99,"YES","NO")</f>
        <v>YES</v>
      </c>
      <c r="AL16" s="57" t="str">
        <f>IF(AL$7&gt;Summary!$J99,"YES","NO")</f>
        <v>YES</v>
      </c>
      <c r="AO16" s="7">
        <f>ROW()</f>
        <v>16</v>
      </c>
    </row>
    <row r="17" spans="1:41" ht="13.9" customHeight="1" x14ac:dyDescent="0.2">
      <c r="B17" s="42" t="s">
        <v>441</v>
      </c>
      <c r="M17">
        <f t="shared" ref="M17:AL17" si="1">IF(M15="NO",0,(IF(AND(M15="YES",M16="NO"),L17+1,L17)))</f>
        <v>0</v>
      </c>
      <c r="N17">
        <f t="shared" si="1"/>
        <v>0</v>
      </c>
      <c r="O17">
        <f t="shared" si="1"/>
        <v>0</v>
      </c>
      <c r="P17">
        <f t="shared" si="1"/>
        <v>1</v>
      </c>
      <c r="Q17">
        <f t="shared" si="1"/>
        <v>2</v>
      </c>
      <c r="R17">
        <f t="shared" si="1"/>
        <v>3</v>
      </c>
      <c r="S17">
        <f t="shared" si="1"/>
        <v>4</v>
      </c>
      <c r="T17">
        <f t="shared" si="1"/>
        <v>5</v>
      </c>
      <c r="U17">
        <f t="shared" si="1"/>
        <v>6</v>
      </c>
      <c r="V17">
        <f t="shared" si="1"/>
        <v>7</v>
      </c>
      <c r="W17">
        <f t="shared" si="1"/>
        <v>8</v>
      </c>
      <c r="X17">
        <f t="shared" si="1"/>
        <v>9</v>
      </c>
      <c r="Y17">
        <f t="shared" si="1"/>
        <v>10</v>
      </c>
      <c r="Z17">
        <f t="shared" si="1"/>
        <v>11</v>
      </c>
      <c r="AA17">
        <f t="shared" si="1"/>
        <v>12</v>
      </c>
      <c r="AB17">
        <f t="shared" si="1"/>
        <v>13</v>
      </c>
      <c r="AC17">
        <f t="shared" si="1"/>
        <v>14</v>
      </c>
      <c r="AD17">
        <f t="shared" si="1"/>
        <v>15</v>
      </c>
      <c r="AE17">
        <f t="shared" si="1"/>
        <v>15</v>
      </c>
      <c r="AF17">
        <f t="shared" si="1"/>
        <v>15</v>
      </c>
      <c r="AG17">
        <f t="shared" si="1"/>
        <v>15</v>
      </c>
      <c r="AH17">
        <f t="shared" si="1"/>
        <v>15</v>
      </c>
      <c r="AI17">
        <f t="shared" si="1"/>
        <v>15</v>
      </c>
      <c r="AJ17">
        <f t="shared" si="1"/>
        <v>15</v>
      </c>
      <c r="AK17">
        <f t="shared" si="1"/>
        <v>15</v>
      </c>
      <c r="AL17">
        <f t="shared" si="1"/>
        <v>15</v>
      </c>
      <c r="AO17" s="7">
        <f>ROW()</f>
        <v>17</v>
      </c>
    </row>
    <row r="18" spans="1:41" ht="13.9" customHeight="1" x14ac:dyDescent="0.2">
      <c r="B18" t="s">
        <v>36</v>
      </c>
      <c r="H18" s="2"/>
      <c r="I18" s="2"/>
      <c r="J18" s="2"/>
      <c r="M18" s="91">
        <f>IF(Summary!$J78=1,MAX(0,$I$11*MIN(1,M17)+$I$12*(M17-1)),IF(M17=0,0,($I$11*(1+$I$12)^(M17-1))))</f>
        <v>0</v>
      </c>
      <c r="N18" s="91">
        <f>IF(Summary!$J78=1,MAX(0,$I$11*MIN(1,N17)+$I$12*(N17-1)),IF(N17=0,0,($I$11*(1+$I$12)^(N17-1))))</f>
        <v>0</v>
      </c>
      <c r="O18" s="91">
        <f>IF(Summary!$J78=1,MAX(0,$I$11*MIN(1,O17)+$I$12*(O17-1)),IF(O17=0,0,($I$11*(1+$I$12)^(O17-1))))</f>
        <v>0</v>
      </c>
      <c r="P18" s="91">
        <f>IF(Summary!$J78=1,MAX(0,$I$11*MIN(1,P17)+$I$12*(P17-1)),IF(P17=0,0,($I$11*(1+$I$12)^(P17-1))))</f>
        <v>10</v>
      </c>
      <c r="Q18" s="91">
        <f>IF(Summary!$J78=1,MAX(0,$I$11*MIN(1,Q17)+$I$12*(Q17-1)),IF(Q17=0,0,($I$11*(1+$I$12)^(Q17-1))))</f>
        <v>11</v>
      </c>
      <c r="R18" s="91">
        <f>IF(Summary!$J78=1,MAX(0,$I$11*MIN(1,R17)+$I$12*(R17-1)),IF(R17=0,0,($I$11*(1+$I$12)^(R17-1))))</f>
        <v>12.100000000000001</v>
      </c>
      <c r="S18" s="91">
        <f>IF(Summary!$J78=1,MAX(0,$I$11*MIN(1,S17)+$I$12*(S17-1)),IF(S17=0,0,($I$11*(1+$I$12)^(S17-1))))</f>
        <v>13.310000000000004</v>
      </c>
      <c r="T18" s="91">
        <f>IF(Summary!$J78=1,MAX(0,$I$11*MIN(1,T17)+$I$12*(T17-1)),IF(T17=0,0,($I$11*(1+$I$12)^(T17-1))))</f>
        <v>14.641000000000004</v>
      </c>
      <c r="U18" s="91">
        <f>IF(Summary!$J78=1,MAX(0,$I$11*MIN(1,U17)+$I$12*(U17-1)),IF(U17=0,0,($I$11*(1+$I$12)^(U17-1))))</f>
        <v>16.105100000000007</v>
      </c>
      <c r="V18" s="91">
        <f>IF(Summary!$J78=1,MAX(0,$I$11*MIN(1,V17)+$I$12*(V17-1)),IF(V17=0,0,($I$11*(1+$I$12)^(V17-1))))</f>
        <v>17.715610000000009</v>
      </c>
      <c r="W18" s="91">
        <f>IF(Summary!$J78=1,MAX(0,$I$11*MIN(1,W17)+$I$12*(W17-1)),IF(W17=0,0,($I$11*(1+$I$12)^(W17-1))))</f>
        <v>19.487171000000011</v>
      </c>
      <c r="X18" s="91">
        <f>IF(Summary!$J78=1,MAX(0,$I$11*MIN(1,X17)+$I$12*(X17-1)),IF(X17=0,0,($I$11*(1+$I$12)^(X17-1))))</f>
        <v>21.43588810000001</v>
      </c>
      <c r="Y18" s="91">
        <f>IF(Summary!$J78=1,MAX(0,$I$11*MIN(1,Y17)+$I$12*(Y17-1)),IF(Y17=0,0,($I$11*(1+$I$12)^(Y17-1))))</f>
        <v>23.579476910000015</v>
      </c>
      <c r="Z18" s="91">
        <f>IF(Summary!$J78=1,MAX(0,$I$11*MIN(1,Z17)+$I$12*(Z17-1)),IF(Z17=0,0,($I$11*(1+$I$12)^(Z17-1))))</f>
        <v>25.937424601000018</v>
      </c>
      <c r="AA18" s="91">
        <f>IF(Summary!$J78=1,MAX(0,$I$11*MIN(1,AA17)+$I$12*(AA17-1)),IF(AA17=0,0,($I$11*(1+$I$12)^(AA17-1))))</f>
        <v>28.531167061100025</v>
      </c>
      <c r="AB18" s="91">
        <f>IF(Summary!$J78=1,MAX(0,$I$11*MIN(1,AB17)+$I$12*(AB17-1)),IF(AB17=0,0,($I$11*(1+$I$12)^(AB17-1))))</f>
        <v>31.384283767210025</v>
      </c>
      <c r="AC18" s="91">
        <f>IF(Summary!$J78=1,MAX(0,$I$11*MIN(1,AC17)+$I$12*(AC17-1)),IF(AC17=0,0,($I$11*(1+$I$12)^(AC17-1))))</f>
        <v>34.522712143931031</v>
      </c>
      <c r="AD18" s="91">
        <f>IF(Summary!$J78=1,MAX(0,$I$11*MIN(1,AD17)+$I$12*(AD17-1)),IF(AD17=0,0,($I$11*(1+$I$12)^(AD17-1))))</f>
        <v>37.974983358324138</v>
      </c>
      <c r="AE18" s="91">
        <f>IF(Summary!$J78=1,MAX(0,$I$11*MIN(1,AE17)+$I$12*(AE17-1)),IF(AE17=0,0,($I$11*(1+$I$12)^(AE17-1))))</f>
        <v>37.974983358324138</v>
      </c>
      <c r="AF18" s="91">
        <f>IF(Summary!$J78=1,MAX(0,$I$11*MIN(1,AF17)+$I$12*(AF17-1)),IF(AF17=0,0,($I$11*(1+$I$12)^(AF17-1))))</f>
        <v>37.974983358324138</v>
      </c>
      <c r="AG18" s="91">
        <f>IF(Summary!$J78=1,MAX(0,$I$11*MIN(1,AG17)+$I$12*(AG17-1)),IF(AG17=0,0,($I$11*(1+$I$12)^(AG17-1))))</f>
        <v>37.974983358324138</v>
      </c>
      <c r="AH18" s="91">
        <f>IF(Summary!$J78=1,MAX(0,$I$11*MIN(1,AH17)+$I$12*(AH17-1)),IF(AH17=0,0,($I$11*(1+$I$12)^(AH17-1))))</f>
        <v>37.974983358324138</v>
      </c>
      <c r="AI18" s="91">
        <f>IF(Summary!$J78=1,MAX(0,$I$11*MIN(1,AI17)+$I$12*(AI17-1)),IF(AI17=0,0,($I$11*(1+$I$12)^(AI17-1))))</f>
        <v>37.974983358324138</v>
      </c>
      <c r="AJ18" s="91">
        <f>IF(Summary!$J78=1,MAX(0,$I$11*MIN(1,AJ17)+$I$12*(AJ17-1)),IF(AJ17=0,0,($I$11*(1+$I$12)^(AJ17-1))))</f>
        <v>37.974983358324138</v>
      </c>
      <c r="AK18" s="91">
        <f>IF(Summary!$J78=1,MAX(0,$I$11*MIN(1,AK17)+$I$12*(AK17-1)),IF(AK17=0,0,($I$11*(1+$I$12)^(AK17-1))))</f>
        <v>37.974983358324138</v>
      </c>
      <c r="AL18" s="91">
        <f>IF(Summary!$J78=1,MAX(0,$I$11*MIN(1,AL17)+$I$12*(AL17-1)),IF(AL17=0,0,($I$11*(1+$I$12)^(AL17-1))))</f>
        <v>37.974983358324138</v>
      </c>
      <c r="AM18" s="91"/>
      <c r="AN18" s="84"/>
      <c r="AO18" s="7">
        <f>ROW()</f>
        <v>18</v>
      </c>
    </row>
    <row r="19" spans="1:41" s="74" customFormat="1" ht="13.9" customHeight="1" x14ac:dyDescent="0.2">
      <c r="B19" s="74" t="s">
        <v>183</v>
      </c>
      <c r="H19" s="75"/>
      <c r="I19" s="75"/>
      <c r="J19" s="75"/>
      <c r="M19" s="76">
        <f>M18*Parameters!$J$15/2000</f>
        <v>0</v>
      </c>
      <c r="N19" s="76">
        <f>N18*Parameters!$J$15/2000</f>
        <v>0</v>
      </c>
      <c r="O19" s="76">
        <f>O18*Parameters!$J$15/2000</f>
        <v>0</v>
      </c>
      <c r="P19" s="76">
        <f>P18*Parameters!$J$15/2000</f>
        <v>11.025</v>
      </c>
      <c r="Q19" s="76">
        <f>Q18*Parameters!$J$15/2000</f>
        <v>12.1275</v>
      </c>
      <c r="R19" s="76">
        <f>R18*Parameters!$J$15/2000</f>
        <v>13.340250000000001</v>
      </c>
      <c r="S19" s="76">
        <f>S18*Parameters!$J$15/2000</f>
        <v>14.674275000000005</v>
      </c>
      <c r="T19" s="76">
        <f>T18*Parameters!$J$15/2000</f>
        <v>16.141702500000005</v>
      </c>
      <c r="U19" s="76">
        <f>U18*Parameters!$J$15/2000</f>
        <v>17.755872750000009</v>
      </c>
      <c r="V19" s="76">
        <f>V18*Parameters!$J$15/2000</f>
        <v>19.531460025000012</v>
      </c>
      <c r="W19" s="76">
        <f>W18*Parameters!$J$15/2000</f>
        <v>21.484606027500014</v>
      </c>
      <c r="X19" s="76">
        <f>X18*Parameters!$J$15/2000</f>
        <v>23.63306663025001</v>
      </c>
      <c r="Y19" s="76">
        <f>Y18*Parameters!$J$15/2000</f>
        <v>25.996373293275017</v>
      </c>
      <c r="Z19" s="76">
        <f>Z18*Parameters!$J$15/2000</f>
        <v>28.59601062260252</v>
      </c>
      <c r="AA19" s="76">
        <f>AA18*Parameters!$J$15/2000</f>
        <v>31.455611684862774</v>
      </c>
      <c r="AB19" s="76">
        <f>AB18*Parameters!$J$15/2000</f>
        <v>34.601172853349055</v>
      </c>
      <c r="AC19" s="76">
        <f>AC18*Parameters!$J$15/2000</f>
        <v>38.061290138683958</v>
      </c>
      <c r="AD19" s="76">
        <f>AD18*Parameters!$J$15/2000</f>
        <v>41.867419152552365</v>
      </c>
      <c r="AE19" s="76">
        <f>AE18*Parameters!$J$15/2000</f>
        <v>41.867419152552365</v>
      </c>
      <c r="AF19" s="76">
        <f>AF18*Parameters!$J$15/2000</f>
        <v>41.867419152552365</v>
      </c>
      <c r="AG19" s="76">
        <f>AG18*Parameters!$J$15/2000</f>
        <v>41.867419152552365</v>
      </c>
      <c r="AH19" s="76">
        <f>AH18*Parameters!$J$15/2000</f>
        <v>41.867419152552365</v>
      </c>
      <c r="AI19" s="76">
        <f>AI18*Parameters!$J$15/2000</f>
        <v>41.867419152552365</v>
      </c>
      <c r="AJ19" s="76">
        <f>AJ18*Parameters!$J$15/2000</f>
        <v>41.867419152552365</v>
      </c>
      <c r="AK19" s="76">
        <f>AK18*Parameters!$J$15/2000</f>
        <v>41.867419152552365</v>
      </c>
      <c r="AL19" s="76">
        <f>AL18*Parameters!$J$15/2000</f>
        <v>41.867419152552365</v>
      </c>
      <c r="AO19" s="7">
        <f>ROW()</f>
        <v>19</v>
      </c>
    </row>
    <row r="20" spans="1:41" ht="13.9" customHeight="1" x14ac:dyDescent="0.2">
      <c r="I20" s="14">
        <v>2005</v>
      </c>
      <c r="K20" s="14">
        <f t="shared" ref="K20:AL20" si="2">K7</f>
        <v>2007</v>
      </c>
      <c r="L20" s="14">
        <f t="shared" si="2"/>
        <v>2008</v>
      </c>
      <c r="M20" s="14">
        <f t="shared" si="2"/>
        <v>2009</v>
      </c>
      <c r="N20" s="14">
        <f t="shared" si="2"/>
        <v>2010</v>
      </c>
      <c r="O20" s="14">
        <f t="shared" si="2"/>
        <v>2011</v>
      </c>
      <c r="P20" s="14">
        <f t="shared" si="2"/>
        <v>2012</v>
      </c>
      <c r="Q20" s="14">
        <f t="shared" si="2"/>
        <v>2013</v>
      </c>
      <c r="R20" s="14">
        <f t="shared" si="2"/>
        <v>2014</v>
      </c>
      <c r="S20" s="14">
        <f t="shared" si="2"/>
        <v>2015</v>
      </c>
      <c r="T20" s="14">
        <f t="shared" si="2"/>
        <v>2016</v>
      </c>
      <c r="U20" s="14">
        <f t="shared" si="2"/>
        <v>2017</v>
      </c>
      <c r="V20" s="14">
        <f t="shared" si="2"/>
        <v>2018</v>
      </c>
      <c r="W20" s="14">
        <f t="shared" si="2"/>
        <v>2019</v>
      </c>
      <c r="X20" s="14">
        <f t="shared" si="2"/>
        <v>2020</v>
      </c>
      <c r="Y20" s="14">
        <f t="shared" si="2"/>
        <v>2021</v>
      </c>
      <c r="Z20" s="14">
        <f t="shared" si="2"/>
        <v>2022</v>
      </c>
      <c r="AA20" s="14">
        <f t="shared" si="2"/>
        <v>2023</v>
      </c>
      <c r="AB20" s="14">
        <f t="shared" si="2"/>
        <v>2024</v>
      </c>
      <c r="AC20" s="14">
        <f t="shared" si="2"/>
        <v>2025</v>
      </c>
      <c r="AD20" s="14">
        <f t="shared" si="2"/>
        <v>2026</v>
      </c>
      <c r="AE20" s="14">
        <f t="shared" si="2"/>
        <v>2027</v>
      </c>
      <c r="AF20" s="14">
        <f t="shared" si="2"/>
        <v>2028</v>
      </c>
      <c r="AG20" s="14">
        <f t="shared" si="2"/>
        <v>2029</v>
      </c>
      <c r="AH20" s="14">
        <f t="shared" si="2"/>
        <v>2030</v>
      </c>
      <c r="AI20" s="14">
        <f t="shared" si="2"/>
        <v>2031</v>
      </c>
      <c r="AJ20" s="14">
        <f t="shared" si="2"/>
        <v>2032</v>
      </c>
      <c r="AK20" s="14">
        <f t="shared" si="2"/>
        <v>2033</v>
      </c>
      <c r="AL20" s="14">
        <f t="shared" si="2"/>
        <v>2034</v>
      </c>
      <c r="AO20" s="7">
        <f>ROW()</f>
        <v>20</v>
      </c>
    </row>
    <row r="21" spans="1:41" ht="13.9" customHeight="1" x14ac:dyDescent="0.2">
      <c r="B21" s="42" t="s">
        <v>309</v>
      </c>
      <c r="K21" s="78"/>
      <c r="L21" s="78"/>
      <c r="M21" s="204">
        <v>9.82</v>
      </c>
      <c r="N21" s="204">
        <v>9.8800000000000008</v>
      </c>
      <c r="O21" s="204">
        <f>N21</f>
        <v>9.8800000000000008</v>
      </c>
      <c r="P21" s="23">
        <f t="shared" ref="P21:AL21" si="3">$O21+P54</f>
        <v>10.497274793939454</v>
      </c>
      <c r="Q21" s="23">
        <f t="shared" si="3"/>
        <v>10.551749723608864</v>
      </c>
      <c r="R21" s="23">
        <f t="shared" si="3"/>
        <v>10.610805980245189</v>
      </c>
      <c r="S21" s="23">
        <f t="shared" si="3"/>
        <v>10.674783597869812</v>
      </c>
      <c r="T21" s="23">
        <f t="shared" si="3"/>
        <v>10.744038565344903</v>
      </c>
      <c r="U21" s="23">
        <f t="shared" si="3"/>
        <v>10.818941487743004</v>
      </c>
      <c r="V21" s="23">
        <f t="shared" si="3"/>
        <v>10.899875640232173</v>
      </c>
      <c r="W21" s="23">
        <f t="shared" si="3"/>
        <v>10.987234284896171</v>
      </c>
      <c r="X21" s="23">
        <f t="shared" si="3"/>
        <v>11.081417101088057</v>
      </c>
      <c r="Y21" s="23">
        <f t="shared" si="3"/>
        <v>11.182825558625966</v>
      </c>
      <c r="Z21" s="23">
        <f t="shared" si="3"/>
        <v>11.29185704082597</v>
      </c>
      <c r="AA21" s="23">
        <f t="shared" si="3"/>
        <v>11.408897501746972</v>
      </c>
      <c r="AB21" s="23">
        <f t="shared" si="3"/>
        <v>11.534312420177764</v>
      </c>
      <c r="AC21" s="23">
        <f t="shared" si="3"/>
        <v>11.668435793381867</v>
      </c>
      <c r="AD21" s="23">
        <f t="shared" si="3"/>
        <v>11.811556898591672</v>
      </c>
      <c r="AE21" s="23">
        <f t="shared" si="3"/>
        <v>11.796846538660482</v>
      </c>
      <c r="AF21" s="23">
        <f t="shared" si="3"/>
        <v>11.782248209956258</v>
      </c>
      <c r="AG21" s="23">
        <f t="shared" si="3"/>
        <v>11.767761059271065</v>
      </c>
      <c r="AH21" s="23">
        <f t="shared" si="3"/>
        <v>11.753384239894835</v>
      </c>
      <c r="AI21" s="23">
        <f t="shared" si="3"/>
        <v>11.739116911565874</v>
      </c>
      <c r="AJ21" s="23">
        <f t="shared" si="3"/>
        <v>11.724958240421763</v>
      </c>
      <c r="AK21" s="23">
        <f t="shared" si="3"/>
        <v>11.710907398950612</v>
      </c>
      <c r="AL21" s="23">
        <f t="shared" si="3"/>
        <v>11.696963565942699</v>
      </c>
      <c r="AM21" s="23"/>
      <c r="AO21" s="7">
        <f>ROW()</f>
        <v>21</v>
      </c>
    </row>
    <row r="22" spans="1:41" ht="13.9" customHeight="1" x14ac:dyDescent="0.2">
      <c r="B22" s="396" t="str">
        <f>CONCATENATE("2009 and 2010 prices are from Monthly Energy Review, T09.09, downloaded 20-Sept-11. 2011 is assumed to match 2010. Later years increment 2011 figure with carbon charge increment from Row ",AO54, ". In effect, carbon charge is assumed to be only factor affecting electricity prices. Note also that carbon charge increments decline over time due to assumed reduction in carbon intensity of electricity resulting from carbon tax. ")</f>
        <v xml:space="preserve">2009 and 2010 prices are from Monthly Energy Review, T09.09, downloaded 20-Sept-11. 2011 is assumed to match 2010. Later years increment 2011 figure with carbon charge increment from Row 54. In effect, carbon charge is assumed to be only factor affecting electricity prices. Note also that carbon charge increments decline over time due to assumed reduction in carbon intensity of electricity resulting from carbon tax. </v>
      </c>
      <c r="C22" s="392"/>
      <c r="D22" s="392"/>
      <c r="E22" s="392"/>
      <c r="F22" s="392"/>
      <c r="G22" s="392"/>
      <c r="H22" s="392"/>
      <c r="I22" s="392"/>
      <c r="J22" s="392"/>
      <c r="K22" s="392"/>
      <c r="L22" s="392"/>
      <c r="M22" s="392"/>
      <c r="AO22" s="7">
        <f>ROW()</f>
        <v>22</v>
      </c>
    </row>
    <row r="23" spans="1:41" ht="13.9" customHeight="1" x14ac:dyDescent="0.2">
      <c r="B23" s="392"/>
      <c r="C23" s="392"/>
      <c r="D23" s="392"/>
      <c r="E23" s="392"/>
      <c r="F23" s="392"/>
      <c r="G23" s="392"/>
      <c r="H23" s="392"/>
      <c r="I23" s="392"/>
      <c r="J23" s="392"/>
      <c r="K23" s="392"/>
      <c r="L23" s="392"/>
      <c r="M23" s="392"/>
      <c r="AO23" s="7">
        <f>ROW()</f>
        <v>23</v>
      </c>
    </row>
    <row r="24" spans="1:41" ht="13.9" customHeight="1" x14ac:dyDescent="0.2">
      <c r="B24" s="392"/>
      <c r="C24" s="392"/>
      <c r="D24" s="392"/>
      <c r="E24" s="392"/>
      <c r="F24" s="392"/>
      <c r="G24" s="392"/>
      <c r="H24" s="392"/>
      <c r="I24" s="392"/>
      <c r="J24" s="392"/>
      <c r="K24" s="392"/>
      <c r="L24" s="392"/>
      <c r="M24" s="392"/>
      <c r="N24" s="13">
        <f>N7</f>
        <v>2010</v>
      </c>
      <c r="O24" s="13">
        <f>O7</f>
        <v>2011</v>
      </c>
      <c r="P24" s="13">
        <f>P7</f>
        <v>2012</v>
      </c>
      <c r="Q24" s="13">
        <f t="shared" ref="Q24:AL24" si="4">Q7</f>
        <v>2013</v>
      </c>
      <c r="R24" s="13">
        <f t="shared" si="4"/>
        <v>2014</v>
      </c>
      <c r="S24" s="13">
        <f t="shared" si="4"/>
        <v>2015</v>
      </c>
      <c r="T24" s="13">
        <f t="shared" si="4"/>
        <v>2016</v>
      </c>
      <c r="U24" s="13">
        <f t="shared" si="4"/>
        <v>2017</v>
      </c>
      <c r="V24" s="13">
        <f t="shared" si="4"/>
        <v>2018</v>
      </c>
      <c r="W24" s="13">
        <f t="shared" si="4"/>
        <v>2019</v>
      </c>
      <c r="X24" s="13">
        <f t="shared" si="4"/>
        <v>2020</v>
      </c>
      <c r="Y24" s="13">
        <f t="shared" si="4"/>
        <v>2021</v>
      </c>
      <c r="Z24" s="13">
        <f t="shared" si="4"/>
        <v>2022</v>
      </c>
      <c r="AA24" s="13">
        <f t="shared" si="4"/>
        <v>2023</v>
      </c>
      <c r="AB24" s="13">
        <f t="shared" si="4"/>
        <v>2024</v>
      </c>
      <c r="AC24" s="13">
        <f t="shared" si="4"/>
        <v>2025</v>
      </c>
      <c r="AD24" s="13">
        <f t="shared" si="4"/>
        <v>2026</v>
      </c>
      <c r="AE24" s="13">
        <f t="shared" si="4"/>
        <v>2027</v>
      </c>
      <c r="AF24" s="13">
        <f t="shared" si="4"/>
        <v>2028</v>
      </c>
      <c r="AG24" s="13">
        <f t="shared" si="4"/>
        <v>2029</v>
      </c>
      <c r="AH24" s="13">
        <f t="shared" si="4"/>
        <v>2030</v>
      </c>
      <c r="AI24" s="13">
        <f t="shared" si="4"/>
        <v>2031</v>
      </c>
      <c r="AJ24" s="13">
        <f t="shared" si="4"/>
        <v>2032</v>
      </c>
      <c r="AK24" s="13">
        <f t="shared" si="4"/>
        <v>2033</v>
      </c>
      <c r="AL24" s="13">
        <f t="shared" si="4"/>
        <v>2034</v>
      </c>
      <c r="AO24" s="7">
        <f>ROW()</f>
        <v>24</v>
      </c>
    </row>
    <row r="25" spans="1:41" ht="13.9" customHeight="1" x14ac:dyDescent="0.2">
      <c r="B25" s="42" t="s">
        <v>528</v>
      </c>
      <c r="I25" s="20">
        <f>3810984.044/1000</f>
        <v>3810.9840440000003</v>
      </c>
      <c r="J25" s="20"/>
      <c r="K25" s="20">
        <f>3890230.897/1000</f>
        <v>3890.2308969999999</v>
      </c>
      <c r="L25" s="20"/>
      <c r="M25" s="166">
        <f>3723802.824/1000</f>
        <v>3723.8028239999999</v>
      </c>
      <c r="N25" s="166">
        <f>3884422.961/1000</f>
        <v>3884.4229610000002</v>
      </c>
      <c r="O25" s="166">
        <f>N25*1.00821354115528</f>
        <v>3916.3278288546881</v>
      </c>
      <c r="P25" s="24">
        <f>O25*(1+Parameters!J8)^Parameters!$G$42*((1+Parameters!$J$9)^Parameters!$G$42)^(P7-2012)</f>
        <v>3960.3044188875538</v>
      </c>
      <c r="Q25" s="24">
        <f>P25*(1+Parameters!$J$9)^Parameters!$G$42</f>
        <v>4019.5616976058168</v>
      </c>
      <c r="R25" s="24">
        <f>Q25*(1+Parameters!$J$9)^Parameters!$G$42</f>
        <v>4079.7056316691451</v>
      </c>
      <c r="S25" s="24">
        <f>R25*(1+Parameters!$J$9)^Parameters!$G$42</f>
        <v>4140.7494879321421</v>
      </c>
      <c r="T25" s="24">
        <f>S25*(1+Parameters!$J$9)^Parameters!$G$42</f>
        <v>4202.7067317588235</v>
      </c>
      <c r="U25" s="24">
        <f>T25*(1+Parameters!$J$9)^Parameters!$G$42</f>
        <v>4265.5910299928737</v>
      </c>
      <c r="V25" s="24">
        <f>U25*(1+Parameters!$J$9)^Parameters!$G$42</f>
        <v>4329.4162539723502</v>
      </c>
      <c r="W25" s="24">
        <f>V25*(1+Parameters!$J$9)^Parameters!$G$42</f>
        <v>4394.1964825894929</v>
      </c>
      <c r="X25" s="24">
        <f>W25*(1+Parameters!$J$9)^Parameters!$G$42</f>
        <v>4459.9460053963176</v>
      </c>
      <c r="Y25" s="24">
        <f>X25*(1+Parameters!$J$9)^Parameters!$G$42</f>
        <v>4526.6793257566778</v>
      </c>
      <c r="Z25" s="24">
        <f>Y25*(1+Parameters!$J$9)^Parameters!$G$42</f>
        <v>4594.4111640454903</v>
      </c>
      <c r="AA25" s="24">
        <f>Z25*(1+Parameters!$J$9)^Parameters!$G$42</f>
        <v>4663.1564608958315</v>
      </c>
      <c r="AB25" s="24">
        <f>AA25*(1+Parameters!$J$9)^Parameters!$G$42</f>
        <v>4732.9303804946167</v>
      </c>
      <c r="AC25" s="24">
        <f>AB25*(1+Parameters!$J$9)^Parameters!$G$42</f>
        <v>4803.7483139275937</v>
      </c>
      <c r="AD25" s="24">
        <f>AC25*(1+Parameters!$J$9)^Parameters!$G$42</f>
        <v>4875.625882574388</v>
      </c>
      <c r="AE25" s="24">
        <f>AD25*(1+Parameters!$J$9)^Parameters!$G$42</f>
        <v>4948.578941554345</v>
      </c>
      <c r="AF25" s="24">
        <f>AE25*(1+Parameters!$J$9)^Parameters!$G$42</f>
        <v>5022.6235832239317</v>
      </c>
      <c r="AG25" s="24">
        <f>AF25*(1+Parameters!$J$9)^Parameters!$G$42</f>
        <v>5097.7761407264743</v>
      </c>
      <c r="AH25" s="24">
        <f>AG25*(1+Parameters!$J$9)^Parameters!$G$42</f>
        <v>5174.0531915950014</v>
      </c>
      <c r="AI25" s="24">
        <f>AH25*(1+Parameters!$J$9)^Parameters!$G$42</f>
        <v>5251.4715614090028</v>
      </c>
      <c r="AJ25" s="24">
        <f>AI25*(1+Parameters!$J$9)^Parameters!$G$42</f>
        <v>5330.0483275059023</v>
      </c>
      <c r="AK25" s="24">
        <f>AJ25*(1+Parameters!$J$9)^Parameters!$G$42</f>
        <v>5409.8008227480605</v>
      </c>
      <c r="AL25" s="24">
        <f>AK25*(1+Parameters!$J$9)^Parameters!$G$42</f>
        <v>5490.7466393461482</v>
      </c>
      <c r="AO25" s="7">
        <f>ROW()</f>
        <v>25</v>
      </c>
    </row>
    <row r="26" spans="1:41" ht="13.9" customHeight="1" x14ac:dyDescent="0.2">
      <c r="B26" s="396" t="str">
        <f>CONCATENATE("2005-2010 figures are from EIA/MER, Table 7.06. 2011 figure prorates 2010 by % increase between first 5 months of respective years. Figures for 2012 apply income-elasticity for electricity given in Parameters page, Row ",Parameters!$O$42," to assumed GDP growth rates given in Rows ",Parameters!$O$7, " and ",Parameters!$O$8, " from same tab.")</f>
        <v>2005-2010 figures are from EIA/MER, Table 7.06. 2011 figure prorates 2010 by % increase between first 5 months of respective years. Figures for 2012 apply income-elasticity for electricity given in Parameters page, Row 42 to assumed GDP growth rates given in Rows 7 and 8 from same tab.</v>
      </c>
      <c r="C26" s="392"/>
      <c r="D26" s="392"/>
      <c r="E26" s="392"/>
      <c r="F26" s="392"/>
      <c r="G26" s="392"/>
      <c r="H26" s="392"/>
      <c r="I26" s="392"/>
      <c r="J26" s="392"/>
      <c r="K26" s="392"/>
      <c r="L26" s="392"/>
      <c r="M26" s="423"/>
      <c r="N26" s="166"/>
      <c r="O26" s="166"/>
      <c r="P26" s="24"/>
      <c r="Q26" s="24"/>
      <c r="R26" s="24"/>
      <c r="S26" s="24"/>
      <c r="T26" s="24"/>
      <c r="U26" s="24"/>
      <c r="V26" s="24"/>
      <c r="W26" s="24"/>
      <c r="X26" s="24"/>
      <c r="Y26" s="24"/>
      <c r="Z26" s="24"/>
      <c r="AA26" s="24"/>
      <c r="AB26" s="24"/>
      <c r="AC26" s="24"/>
      <c r="AD26" s="24"/>
      <c r="AE26" s="24"/>
      <c r="AF26" s="24"/>
      <c r="AG26" s="24"/>
      <c r="AH26" s="24"/>
      <c r="AI26" s="24"/>
      <c r="AJ26" s="24"/>
      <c r="AK26" s="24"/>
      <c r="AL26" s="24"/>
      <c r="AO26" s="7">
        <f>ROW()</f>
        <v>26</v>
      </c>
    </row>
    <row r="27" spans="1:41" ht="13.9" customHeight="1" x14ac:dyDescent="0.2">
      <c r="B27" s="392"/>
      <c r="C27" s="392"/>
      <c r="D27" s="392"/>
      <c r="E27" s="392"/>
      <c r="F27" s="392"/>
      <c r="G27" s="392"/>
      <c r="H27" s="392"/>
      <c r="I27" s="392"/>
      <c r="J27" s="392"/>
      <c r="K27" s="392"/>
      <c r="L27" s="392"/>
      <c r="M27" s="423"/>
      <c r="N27" s="166"/>
      <c r="O27" s="166"/>
      <c r="AO27" s="7">
        <f>ROW()</f>
        <v>27</v>
      </c>
    </row>
    <row r="28" spans="1:41" ht="13.9" customHeight="1" x14ac:dyDescent="0.2">
      <c r="I28" s="20"/>
      <c r="J28" s="20"/>
      <c r="K28" s="20"/>
      <c r="L28" s="20"/>
      <c r="M28"/>
      <c r="N28"/>
      <c r="O28" s="166"/>
      <c r="AC28" s="24"/>
      <c r="AD28" s="24"/>
      <c r="AE28" s="24"/>
      <c r="AF28" s="24"/>
      <c r="AG28" s="24"/>
      <c r="AH28" s="24"/>
      <c r="AI28" s="24"/>
      <c r="AJ28" s="24"/>
      <c r="AK28" s="24"/>
      <c r="AL28" s="24"/>
      <c r="AO28" s="7">
        <f>ROW()</f>
        <v>28</v>
      </c>
    </row>
    <row r="29" spans="1:41" ht="13.9" customHeight="1" x14ac:dyDescent="0.2">
      <c r="B29" s="463" t="s">
        <v>440</v>
      </c>
      <c r="C29" s="464"/>
      <c r="D29" s="464"/>
      <c r="E29" s="464"/>
      <c r="F29" s="464"/>
      <c r="G29" s="464"/>
      <c r="H29" s="464"/>
      <c r="I29" s="464"/>
      <c r="J29" s="464"/>
      <c r="K29" s="465"/>
      <c r="L29" s="20"/>
      <c r="M29" s="166"/>
      <c r="N29" s="166"/>
      <c r="O29" s="166"/>
      <c r="AO29" s="7">
        <f>ROW()</f>
        <v>29</v>
      </c>
    </row>
    <row r="30" spans="1:41" ht="13.9" customHeight="1" x14ac:dyDescent="0.2">
      <c r="B30" s="466"/>
      <c r="C30" s="467"/>
      <c r="D30" s="467"/>
      <c r="E30" s="467"/>
      <c r="F30" s="467"/>
      <c r="G30" s="467"/>
      <c r="H30" s="467"/>
      <c r="I30" s="467"/>
      <c r="J30" s="467"/>
      <c r="K30" s="468"/>
      <c r="L30" s="20"/>
      <c r="M30" s="166"/>
      <c r="N30" s="166"/>
      <c r="O30" s="166"/>
      <c r="AO30" s="7">
        <f>ROW()</f>
        <v>30</v>
      </c>
    </row>
    <row r="31" spans="1:41" ht="13.9" customHeight="1" x14ac:dyDescent="0.2">
      <c r="B31" s="466"/>
      <c r="C31" s="467"/>
      <c r="D31" s="467"/>
      <c r="E31" s="467"/>
      <c r="F31" s="467"/>
      <c r="G31" s="467"/>
      <c r="H31" s="467"/>
      <c r="I31" s="467"/>
      <c r="J31" s="469"/>
      <c r="K31" s="470"/>
      <c r="M31"/>
      <c r="N31"/>
      <c r="O31"/>
      <c r="AO31" s="7">
        <f>ROW()</f>
        <v>31</v>
      </c>
    </row>
    <row r="32" spans="1:41" ht="13.9" customHeight="1" x14ac:dyDescent="0.2">
      <c r="A32" s="84"/>
      <c r="B32" s="269"/>
      <c r="C32" s="270"/>
      <c r="D32" s="270"/>
      <c r="E32" s="269"/>
      <c r="F32" s="269"/>
      <c r="G32" s="269"/>
      <c r="H32" s="269"/>
      <c r="I32" s="346" t="s">
        <v>334</v>
      </c>
      <c r="J32" s="347">
        <f>L32/Parameters!$J$16*100*10</f>
        <v>1.04</v>
      </c>
      <c r="K32" s="271" t="s">
        <v>337</v>
      </c>
      <c r="L32" s="273">
        <v>2.08</v>
      </c>
      <c r="M32" s="450" t="s">
        <v>436</v>
      </c>
      <c r="N32" s="451"/>
      <c r="AB32" s="24"/>
      <c r="AC32" s="24"/>
      <c r="AD32" s="24"/>
      <c r="AE32" s="24"/>
      <c r="AF32" s="24"/>
      <c r="AG32" s="24"/>
      <c r="AH32" s="24"/>
      <c r="AI32" s="24"/>
      <c r="AJ32" s="24"/>
      <c r="AK32" s="24"/>
      <c r="AL32" s="24"/>
      <c r="AO32" s="7">
        <f>ROW()</f>
        <v>32</v>
      </c>
    </row>
    <row r="33" spans="2:41" ht="13.9" customHeight="1" x14ac:dyDescent="0.2">
      <c r="B33" s="269"/>
      <c r="C33" s="269"/>
      <c r="D33" s="269"/>
      <c r="E33" s="269"/>
      <c r="F33" s="269"/>
      <c r="G33" s="269"/>
      <c r="H33" s="269"/>
      <c r="I33" s="346" t="s">
        <v>336</v>
      </c>
      <c r="J33" s="347">
        <f>L33/Parameters!$J$16*100*10*(6000/10000)</f>
        <v>0.33899999999999997</v>
      </c>
      <c r="K33" s="271" t="s">
        <v>337</v>
      </c>
      <c r="L33" s="273">
        <v>1.1299999999999999</v>
      </c>
      <c r="M33" s="452"/>
      <c r="N33" s="453"/>
      <c r="AO33" s="7">
        <f>ROW()</f>
        <v>33</v>
      </c>
    </row>
    <row r="34" spans="2:41" ht="13.9" customHeight="1" x14ac:dyDescent="0.2">
      <c r="B34" s="269"/>
      <c r="C34" s="269"/>
      <c r="D34" s="269"/>
      <c r="E34" s="269"/>
      <c r="F34" s="269"/>
      <c r="G34" s="269"/>
      <c r="H34" s="269"/>
      <c r="I34" s="346" t="s">
        <v>435</v>
      </c>
      <c r="J34" s="348">
        <f>J32-J33</f>
        <v>0.70100000000000007</v>
      </c>
      <c r="K34" s="272" t="s">
        <v>337</v>
      </c>
      <c r="L34" s="270"/>
      <c r="M34" s="454"/>
      <c r="N34" s="455"/>
      <c r="AO34" s="7">
        <f>ROW()</f>
        <v>34</v>
      </c>
    </row>
    <row r="35" spans="2:41" ht="13.9" customHeight="1" x14ac:dyDescent="0.2">
      <c r="B35" s="3"/>
      <c r="M35" s="84"/>
      <c r="P35" s="148" t="s">
        <v>34</v>
      </c>
      <c r="Q35" s="149"/>
      <c r="R35" s="149"/>
      <c r="S35" s="150"/>
      <c r="T35" s="150"/>
      <c r="U35" s="150"/>
      <c r="V35" s="151">
        <v>1.8049999999999999</v>
      </c>
      <c r="AO35" s="7">
        <f>ROW()</f>
        <v>35</v>
      </c>
    </row>
    <row r="36" spans="2:41" ht="13.9" customHeight="1" x14ac:dyDescent="0.2">
      <c r="B36" s="42" t="s">
        <v>437</v>
      </c>
      <c r="I36" s="59"/>
      <c r="J36" s="222">
        <f>1-0.5*(1-Emissions!L26)</f>
        <v>0.99238419539081835</v>
      </c>
      <c r="K36" s="157"/>
      <c r="L36" s="229" t="s">
        <v>527</v>
      </c>
      <c r="M36" s="244">
        <f>1-J36</f>
        <v>7.6158046091816534E-3</v>
      </c>
      <c r="AO36" s="7">
        <f>ROW()</f>
        <v>36</v>
      </c>
    </row>
    <row r="37" spans="2:41" ht="13.9" customHeight="1" x14ac:dyDescent="0.2">
      <c r="B37" s="110" t="s">
        <v>332</v>
      </c>
      <c r="K37" s="222"/>
      <c r="M37" s="205"/>
      <c r="N37" s="205"/>
      <c r="O37" s="205"/>
      <c r="Q37" s="3"/>
      <c r="R37" s="3"/>
      <c r="AO37" s="7">
        <f>ROW()</f>
        <v>37</v>
      </c>
    </row>
    <row r="38" spans="2:41" ht="13.9" customHeight="1" x14ac:dyDescent="0.2">
      <c r="B38" s="42" t="s">
        <v>314</v>
      </c>
      <c r="I38" s="222">
        <f>Emissions!G24</f>
        <v>1.3127019529516197</v>
      </c>
      <c r="J38" s="222"/>
      <c r="K38" s="222">
        <f>Emissions!I24</f>
        <v>1.2864792897010242</v>
      </c>
      <c r="L38" s="222">
        <f>Emissions!J24</f>
        <v>1.270043949443594</v>
      </c>
      <c r="M38" s="223">
        <f>Emissions!K24</f>
        <v>1.2089952341238386</v>
      </c>
      <c r="N38" s="243">
        <f>Emissions!L24</f>
        <v>1.2157285952741814</v>
      </c>
      <c r="O38" s="223">
        <f t="shared" ref="O38:AL38" si="5">N38*$J$36</f>
        <v>1.2064698438347783</v>
      </c>
      <c r="P38" s="223">
        <f>O38*$J$36^(P7-2011)</f>
        <v>1.1972816052372628</v>
      </c>
      <c r="Q38" s="223">
        <f t="shared" si="5"/>
        <v>1.1881633424696085</v>
      </c>
      <c r="R38" s="223">
        <f t="shared" si="5"/>
        <v>1.1791145226095678</v>
      </c>
      <c r="S38" s="223">
        <f t="shared" si="5"/>
        <v>1.1701346167935249</v>
      </c>
      <c r="T38" s="223">
        <f t="shared" si="5"/>
        <v>1.1612231001855857</v>
      </c>
      <c r="U38" s="223">
        <f t="shared" si="5"/>
        <v>1.1523794519469042</v>
      </c>
      <c r="V38" s="223">
        <f t="shared" si="5"/>
        <v>1.1436031552052408</v>
      </c>
      <c r="W38" s="223">
        <f t="shared" si="5"/>
        <v>1.1348936970247541</v>
      </c>
      <c r="X38" s="223">
        <f t="shared" si="5"/>
        <v>1.1262505683760218</v>
      </c>
      <c r="Y38" s="223">
        <f t="shared" si="5"/>
        <v>1.1176732641062903</v>
      </c>
      <c r="Z38" s="223">
        <f t="shared" si="5"/>
        <v>1.1091612829099504</v>
      </c>
      <c r="AA38" s="223">
        <f t="shared" si="5"/>
        <v>1.1007141272992389</v>
      </c>
      <c r="AB38" s="223">
        <f t="shared" si="5"/>
        <v>1.0923313035751621</v>
      </c>
      <c r="AC38" s="223">
        <f t="shared" si="5"/>
        <v>1.084012321798641</v>
      </c>
      <c r="AD38" s="223">
        <f t="shared" si="5"/>
        <v>1.0757566957618772</v>
      </c>
      <c r="AE38" s="223">
        <f t="shared" si="5"/>
        <v>1.0675639429599357</v>
      </c>
      <c r="AF38" s="223">
        <f t="shared" si="5"/>
        <v>1.0594335845625453</v>
      </c>
      <c r="AG38" s="223">
        <f t="shared" si="5"/>
        <v>1.0513651453861121</v>
      </c>
      <c r="AH38" s="223">
        <f t="shared" si="5"/>
        <v>1.0433581538659475</v>
      </c>
      <c r="AI38" s="223">
        <f t="shared" si="5"/>
        <v>1.0354121420287079</v>
      </c>
      <c r="AJ38" s="223">
        <f t="shared" si="5"/>
        <v>1.0275266454650431</v>
      </c>
      <c r="AK38" s="223">
        <f t="shared" si="5"/>
        <v>1.0197012033024535</v>
      </c>
      <c r="AL38" s="223">
        <f t="shared" si="5"/>
        <v>1.0119353581783546</v>
      </c>
      <c r="AO38" s="7">
        <f>ROW()</f>
        <v>38</v>
      </c>
    </row>
    <row r="39" spans="2:41" ht="13.9" customHeight="1" x14ac:dyDescent="0.2">
      <c r="B39" s="110" t="str">
        <f>CONCATENATE("Figures through 2010 are calc'd in 'Emissions' worksheet. From 2011, each figure is previous year's figure times ratio in Cell J",AO36, ".")</f>
        <v>Figures through 2010 are calc'd in 'Emissions' worksheet. From 2011, each figure is previous year's figure times ratio in Cell J36.</v>
      </c>
      <c r="M39" s="84"/>
      <c r="AO39" s="7">
        <f>ROW()</f>
        <v>39</v>
      </c>
    </row>
    <row r="40" spans="2:41" ht="13.9" customHeight="1" x14ac:dyDescent="0.2">
      <c r="B40" s="15" t="s">
        <v>191</v>
      </c>
      <c r="E40" s="157"/>
      <c r="F40" s="224" t="s">
        <v>333</v>
      </c>
      <c r="G40" s="151">
        <f>AVERAGE(I40:N40)</f>
        <v>1.063525577449935</v>
      </c>
      <c r="I40" s="25">
        <f>I41/I25</f>
        <v>1.0641346049151812</v>
      </c>
      <c r="J40" s="25"/>
      <c r="K40" s="25">
        <f>K41/K25</f>
        <v>1.0685084855003146</v>
      </c>
      <c r="L40" s="25"/>
      <c r="M40" s="206">
        <f>M41/M25</f>
        <v>1.0608054181979427</v>
      </c>
      <c r="N40" s="206">
        <f>N41/N25</f>
        <v>1.0606538011863018</v>
      </c>
      <c r="O40" s="206"/>
      <c r="AO40" s="7">
        <f>ROW()</f>
        <v>40</v>
      </c>
    </row>
    <row r="41" spans="2:41" ht="13.9" customHeight="1" x14ac:dyDescent="0.2">
      <c r="B41" t="s">
        <v>139</v>
      </c>
      <c r="G41" s="225"/>
      <c r="H41" s="226"/>
      <c r="I41" s="227">
        <f>Emissions!G20</f>
        <v>4055.4</v>
      </c>
      <c r="J41" s="227"/>
      <c r="K41" s="227">
        <f>Emissions!I20</f>
        <v>4156.7447240000001</v>
      </c>
      <c r="L41" s="227"/>
      <c r="M41" s="228">
        <f>Emissions!K20</f>
        <v>3950.2302119999999</v>
      </c>
      <c r="N41" s="228">
        <f>Emissions!L20</f>
        <v>4120.0279790000004</v>
      </c>
      <c r="O41" s="228">
        <f t="shared" ref="O41:AL41" si="6">O25*$G$40</f>
        <v>4165.1148156659328</v>
      </c>
      <c r="P41" s="228">
        <f t="shared" si="6"/>
        <v>4211.8850439749149</v>
      </c>
      <c r="Q41" s="228">
        <f t="shared" si="6"/>
        <v>4274.9066755418671</v>
      </c>
      <c r="R41" s="228">
        <f t="shared" si="6"/>
        <v>4338.8712877466796</v>
      </c>
      <c r="S41" s="228">
        <f t="shared" si="6"/>
        <v>4403.7929902285541</v>
      </c>
      <c r="T41" s="228">
        <f t="shared" si="6"/>
        <v>4469.6861037465324</v>
      </c>
      <c r="U41" s="228">
        <f t="shared" si="6"/>
        <v>4536.5651633384341</v>
      </c>
      <c r="V41" s="228">
        <f t="shared" si="6"/>
        <v>4604.4449215270779</v>
      </c>
      <c r="W41" s="228">
        <f t="shared" si="6"/>
        <v>4673.340351574464</v>
      </c>
      <c r="X41" s="228">
        <f t="shared" si="6"/>
        <v>4743.2666507846498</v>
      </c>
      <c r="Y41" s="228">
        <f t="shared" si="6"/>
        <v>4814.2392438560537</v>
      </c>
      <c r="Z41" s="228">
        <f t="shared" si="6"/>
        <v>4886.2737862839085</v>
      </c>
      <c r="AA41" s="228">
        <f t="shared" si="6"/>
        <v>4959.3861678136345</v>
      </c>
      <c r="AB41" s="228">
        <f t="shared" si="6"/>
        <v>5033.5925159458775</v>
      </c>
      <c r="AC41" s="228">
        <f t="shared" si="6"/>
        <v>5108.9091994939963</v>
      </c>
      <c r="AD41" s="228">
        <f t="shared" si="6"/>
        <v>5185.3528321947751</v>
      </c>
      <c r="AE41" s="228">
        <f t="shared" si="6"/>
        <v>5262.9402763731732</v>
      </c>
      <c r="AF41" s="228">
        <f t="shared" si="6"/>
        <v>5341.6886466618935</v>
      </c>
      <c r="AG41" s="228">
        <f t="shared" si="6"/>
        <v>5421.615313776625</v>
      </c>
      <c r="AH41" s="228">
        <f t="shared" si="6"/>
        <v>5502.7379083477535</v>
      </c>
      <c r="AI41" s="228">
        <f t="shared" si="6"/>
        <v>5585.0743248094213</v>
      </c>
      <c r="AJ41" s="228">
        <f t="shared" si="6"/>
        <v>5668.6427253467755</v>
      </c>
      <c r="AK41" s="228">
        <f t="shared" si="6"/>
        <v>5753.4615439022646</v>
      </c>
      <c r="AL41" s="228">
        <f t="shared" si="6"/>
        <v>5839.5494902419023</v>
      </c>
      <c r="AO41" s="7">
        <f>ROW()</f>
        <v>41</v>
      </c>
    </row>
    <row r="42" spans="2:41" ht="13.9" customHeight="1" x14ac:dyDescent="0.2">
      <c r="B42" s="110" t="str">
        <f>CONCATENATE("Figures through 2010 are taken from Emissions worksheet. From 2011, each figure is product of projected end-use TWh in Row ",AO25, " and empirical ratio of generation to sales in Cell F",AO40, ".")</f>
        <v>Figures through 2010 are taken from Emissions worksheet. From 2011, each figure is product of projected end-use TWh in Row 25 and empirical ratio of generation to sales in Cell F40.</v>
      </c>
      <c r="M42" s="84"/>
      <c r="AO42" s="7">
        <f>ROW()</f>
        <v>42</v>
      </c>
    </row>
    <row r="43" spans="2:41" ht="13.9" customHeight="1" x14ac:dyDescent="0.2">
      <c r="B43" t="s">
        <v>184</v>
      </c>
      <c r="I43" s="20">
        <f>Emissions!G48</f>
        <v>2414.2999999999997</v>
      </c>
      <c r="J43" s="20"/>
      <c r="K43" s="20">
        <f>Emissions!I48</f>
        <v>2425.1999999999998</v>
      </c>
      <c r="L43" s="20">
        <f>Emissions!J48</f>
        <v>2372.6999999999998</v>
      </c>
      <c r="M43" s="20">
        <f>Emissions!K48</f>
        <v>2165.9</v>
      </c>
      <c r="N43" s="20">
        <f>Emissions!L48</f>
        <v>2271.5808741043061</v>
      </c>
      <c r="O43" s="20">
        <f>O41*O38/Parameters!$J$15*1000</f>
        <v>2278.9503044038092</v>
      </c>
      <c r="P43" s="20">
        <f>P41*P38/Parameters!$J$15*1000</f>
        <v>2286.9897898073041</v>
      </c>
      <c r="Q43" s="20">
        <f>Q41*Q38/Parameters!$J$15*1000</f>
        <v>2303.5317026564476</v>
      </c>
      <c r="R43" s="20">
        <f>R41*R38/Parameters!$J$15*1000</f>
        <v>2320.1932639980892</v>
      </c>
      <c r="S43" s="20">
        <f>S41*S38/Parameters!$J$15*1000</f>
        <v>2336.9753392558277</v>
      </c>
      <c r="T43" s="20">
        <f>T41*T38/Parameters!$J$15*1000</f>
        <v>2353.878800112916</v>
      </c>
      <c r="U43" s="20">
        <f>U41*U38/Parameters!$J$15*1000</f>
        <v>2370.9045245575339</v>
      </c>
      <c r="V43" s="20">
        <f>V41*V38/Parameters!$J$15*1000</f>
        <v>2388.0533969283965</v>
      </c>
      <c r="W43" s="20">
        <f>W41*W38/Parameters!$J$15*1000</f>
        <v>2405.3263079606836</v>
      </c>
      <c r="X43" s="20">
        <f>X41*X38/Parameters!$J$15*1000</f>
        <v>2422.7241548323091</v>
      </c>
      <c r="Y43" s="20">
        <f>Y41*Y38/Parameters!$J$15*1000</f>
        <v>2440.2478412105188</v>
      </c>
      <c r="Z43" s="20">
        <f>Z41*Z38/Parameters!$J$15*1000</f>
        <v>2457.8982772988302</v>
      </c>
      <c r="AA43" s="20">
        <f>AA41*AA38/Parameters!$J$15*1000</f>
        <v>2475.676379884309</v>
      </c>
      <c r="AB43" s="20">
        <f>AB41*AB38/Parameters!$J$15*1000</f>
        <v>2493.5830723851882</v>
      </c>
      <c r="AC43" s="20">
        <f>AC41*AC38/Parameters!$J$15*1000</f>
        <v>2511.6192848988317</v>
      </c>
      <c r="AD43" s="20">
        <f>AD41*AD38/Parameters!$J$15*1000</f>
        <v>2529.7859542500419</v>
      </c>
      <c r="AE43" s="20">
        <f>AE41*AE38/Parameters!$J$15*1000</f>
        <v>2548.0840240397274</v>
      </c>
      <c r="AF43" s="20">
        <f>AF41*AF38/Parameters!$J$15*1000</f>
        <v>2566.5144446939053</v>
      </c>
      <c r="AG43" s="20">
        <f>AG41*AG38/Parameters!$J$15*1000</f>
        <v>2585.0781735130763</v>
      </c>
      <c r="AH43" s="20">
        <f>AH41*AH38/Parameters!$J$15*1000</f>
        <v>2603.7761747219402</v>
      </c>
      <c r="AI43" s="20">
        <f>AI41*AI38/Parameters!$J$15*1000</f>
        <v>2622.6094195194837</v>
      </c>
      <c r="AJ43" s="20">
        <f>AJ41*AJ38/Parameters!$J$15*1000</f>
        <v>2641.57888612943</v>
      </c>
      <c r="AK43" s="20">
        <f>AK41*AK38/Parameters!$J$15*1000</f>
        <v>2660.6855598510342</v>
      </c>
      <c r="AL43" s="20">
        <f>AL41*AL38/Parameters!$J$15*1000</f>
        <v>2679.9304331102803</v>
      </c>
      <c r="AO43" s="7">
        <f>ROW()</f>
        <v>43</v>
      </c>
    </row>
    <row r="44" spans="2:41" ht="13.9" customHeight="1" x14ac:dyDescent="0.2">
      <c r="B44" s="3"/>
      <c r="H44" s="21"/>
      <c r="I44" s="21"/>
      <c r="J44" s="21"/>
      <c r="K44" s="170">
        <f>K7</f>
        <v>2007</v>
      </c>
      <c r="L44" s="170"/>
      <c r="M44" s="242">
        <f>M7</f>
        <v>2009</v>
      </c>
      <c r="N44" s="242">
        <f>N7</f>
        <v>2010</v>
      </c>
      <c r="O44" s="170">
        <f>O7</f>
        <v>2011</v>
      </c>
      <c r="P44" s="130">
        <f>P7</f>
        <v>2012</v>
      </c>
      <c r="AO44" s="7">
        <f>ROW()</f>
        <v>44</v>
      </c>
    </row>
    <row r="45" spans="2:41" ht="13.9" customHeight="1" x14ac:dyDescent="0.2">
      <c r="B45" s="66" t="s">
        <v>338</v>
      </c>
      <c r="G45" s="102">
        <v>10</v>
      </c>
      <c r="H45" s="230" t="s">
        <v>339</v>
      </c>
      <c r="I45" s="67"/>
      <c r="J45" s="231">
        <v>4</v>
      </c>
      <c r="M45" s="213"/>
      <c r="N45" s="213"/>
      <c r="P45" s="22"/>
      <c r="R45" s="22"/>
      <c r="S45" s="22"/>
      <c r="T45" s="22"/>
      <c r="U45" s="22"/>
      <c r="V45" s="22"/>
      <c r="W45" s="22"/>
      <c r="X45" s="22"/>
      <c r="Y45" s="22"/>
      <c r="Z45" s="22"/>
      <c r="AA45" s="22"/>
      <c r="AB45" s="22"/>
      <c r="AC45" s="22"/>
      <c r="AD45" s="22"/>
      <c r="AE45" s="22"/>
      <c r="AF45" s="22"/>
      <c r="AG45" s="22"/>
      <c r="AH45" s="22"/>
      <c r="AI45" s="22"/>
      <c r="AJ45" s="22"/>
      <c r="AK45" s="22"/>
      <c r="AL45" s="22"/>
      <c r="AO45" s="7">
        <f>ROW()</f>
        <v>45</v>
      </c>
    </row>
    <row r="46" spans="2:41" ht="13.9" customHeight="1" x14ac:dyDescent="0.2">
      <c r="B46" s="396" t="str">
        <f>CONCATENATE("CTC estimate, intended to reflect increased penetration of wind, natural gas, nuclear and generation efficiencies as coal-burning grows more costly. Note that relative cost of a coal-fired kWh vis-a-vis natural gas rises by approx'ly ",ROUND(J34,1), " cents per $10/ton CO2 rise in carbon tax. Ideally, impact would be modeled with time lag. Reduction is assumed to persist despite eventual leveling of carbon tax.")</f>
        <v>CTC estimate, intended to reflect increased penetration of wind, natural gas, nuclear and generation efficiencies as coal-burning grows more costly. Note that relative cost of a coal-fired kWh vis-a-vis natural gas rises by approx'ly 0.7 cents per $10/ton CO2 rise in carbon tax. Ideally, impact would be modeled with time lag. Reduction is assumed to persist despite eventual leveling of carbon tax.</v>
      </c>
      <c r="C46" s="396"/>
      <c r="D46" s="396"/>
      <c r="E46" s="396"/>
      <c r="F46" s="396"/>
      <c r="G46" s="396"/>
      <c r="H46" s="396"/>
      <c r="I46" s="396"/>
      <c r="J46" s="396"/>
      <c r="K46" s="396"/>
      <c r="L46" s="396"/>
      <c r="M46" s="396"/>
      <c r="N46" s="396"/>
      <c r="O46" s="396"/>
      <c r="P46" s="392"/>
      <c r="Q46" s="392"/>
      <c r="R46" s="110"/>
      <c r="S46" s="110"/>
      <c r="T46" s="110"/>
      <c r="U46" s="110"/>
      <c r="AO46" s="7">
        <f>ROW()</f>
        <v>46</v>
      </c>
    </row>
    <row r="47" spans="2:41" ht="13.9" customHeight="1" x14ac:dyDescent="0.2">
      <c r="B47" s="396"/>
      <c r="C47" s="396"/>
      <c r="D47" s="396"/>
      <c r="E47" s="396"/>
      <c r="F47" s="396"/>
      <c r="G47" s="396"/>
      <c r="H47" s="396"/>
      <c r="I47" s="396"/>
      <c r="J47" s="396"/>
      <c r="K47" s="396"/>
      <c r="L47" s="396"/>
      <c r="M47" s="396"/>
      <c r="N47" s="396"/>
      <c r="O47" s="396"/>
      <c r="P47" s="392"/>
      <c r="Q47" s="392"/>
      <c r="R47" s="110"/>
      <c r="S47" s="110"/>
      <c r="T47" s="110"/>
      <c r="U47" s="110"/>
      <c r="AO47" s="7">
        <f>ROW()</f>
        <v>47</v>
      </c>
    </row>
    <row r="48" spans="2:41" ht="13.9" customHeight="1" x14ac:dyDescent="0.2">
      <c r="B48" s="3"/>
      <c r="C48" s="3"/>
      <c r="D48" s="3"/>
      <c r="E48" s="3"/>
      <c r="F48" s="3"/>
      <c r="G48" s="3"/>
      <c r="H48" s="3"/>
      <c r="I48" s="218"/>
      <c r="J48" s="3"/>
      <c r="K48" s="218"/>
      <c r="L48" s="3"/>
      <c r="M48" s="245"/>
      <c r="N48" s="245"/>
      <c r="P48" s="3"/>
      <c r="Q48" s="3"/>
      <c r="R48" s="3"/>
      <c r="S48" s="3"/>
      <c r="T48" s="3"/>
      <c r="AO48" s="7">
        <f>ROW()</f>
        <v>48</v>
      </c>
    </row>
    <row r="49" spans="2:41" ht="13.9" customHeight="1" x14ac:dyDescent="0.2">
      <c r="B49" s="42" t="s">
        <v>340</v>
      </c>
      <c r="G49" s="3" t="s">
        <v>355</v>
      </c>
      <c r="M49" s="84"/>
      <c r="N49" s="204">
        <f t="shared" ref="N49:AL49" si="7">N38*(1-$J$45*$M$36)^(N18/$G$45)</f>
        <v>1.2157285952741814</v>
      </c>
      <c r="O49" s="7">
        <f t="shared" si="7"/>
        <v>1.2064698438347783</v>
      </c>
      <c r="P49" s="7">
        <f t="shared" si="7"/>
        <v>1.1608085541666453</v>
      </c>
      <c r="Q49" s="7">
        <f t="shared" si="7"/>
        <v>1.1484097418350916</v>
      </c>
      <c r="R49" s="7">
        <f t="shared" si="7"/>
        <v>1.1357919307372515</v>
      </c>
      <c r="S49" s="7">
        <f t="shared" si="7"/>
        <v>1.1229305495880391</v>
      </c>
      <c r="T49" s="7">
        <f t="shared" si="7"/>
        <v>1.1097992913342634</v>
      </c>
      <c r="U49" s="7">
        <f t="shared" si="7"/>
        <v>1.096370041691755</v>
      </c>
      <c r="V49" s="7">
        <f t="shared" si="7"/>
        <v>1.0826128172456992</v>
      </c>
      <c r="W49" s="7">
        <f t="shared" si="7"/>
        <v>1.0684957167465741</v>
      </c>
      <c r="X49" s="7">
        <f t="shared" si="7"/>
        <v>1.0539848899762745</v>
      </c>
      <c r="Y49" s="7">
        <f t="shared" si="7"/>
        <v>1.0390445294092303</v>
      </c>
      <c r="Z49" s="7">
        <f t="shared" si="7"/>
        <v>1.0236368908577804</v>
      </c>
      <c r="AA49" s="7">
        <f t="shared" si="7"/>
        <v>1.0077223503726789</v>
      </c>
      <c r="AB49" s="7">
        <f t="shared" si="7"/>
        <v>0.99125950586638045</v>
      </c>
      <c r="AC49" s="7">
        <f t="shared" si="7"/>
        <v>0.97420533322948955</v>
      </c>
      <c r="AD49" s="7">
        <f t="shared" si="7"/>
        <v>0.95651540810009361</v>
      </c>
      <c r="AE49" s="7">
        <f t="shared" si="7"/>
        <v>0.94923077364633157</v>
      </c>
      <c r="AF49" s="7">
        <f t="shared" si="7"/>
        <v>0.94200161754521872</v>
      </c>
      <c r="AG49" s="7">
        <f t="shared" si="7"/>
        <v>0.93482751728446134</v>
      </c>
      <c r="AH49" s="7">
        <f t="shared" si="7"/>
        <v>0.92770805356953645</v>
      </c>
      <c r="AI49" s="7">
        <f t="shared" si="7"/>
        <v>0.9206428102991866</v>
      </c>
      <c r="AJ49" s="7">
        <f t="shared" si="7"/>
        <v>0.91363137454110011</v>
      </c>
      <c r="AK49" s="7">
        <f t="shared" si="7"/>
        <v>0.90667333650777704</v>
      </c>
      <c r="AL49" s="7">
        <f t="shared" si="7"/>
        <v>0.89976828953257904</v>
      </c>
      <c r="AO49" s="7">
        <f>ROW()</f>
        <v>49</v>
      </c>
    </row>
    <row r="50" spans="2:41" ht="13.9" customHeight="1" x14ac:dyDescent="0.2">
      <c r="B50" s="110" t="str">
        <f>CONCATENATE("Figures reduce Row ",AO38, " emission rates by a percentage calculated from Cells L",AO36, " and I",AO45, ", normalized by Cell F",AO45, ".")</f>
        <v>Figures reduce Row 38 emission rates by a percentage calculated from Cells L36 and I45, normalized by Cell F45.</v>
      </c>
      <c r="M50" s="84"/>
      <c r="AO50" s="7">
        <f>ROW()</f>
        <v>50</v>
      </c>
    </row>
    <row r="51" spans="2:41" ht="13.9" customHeight="1" x14ac:dyDescent="0.2">
      <c r="B51" s="3"/>
      <c r="M51" s="84"/>
      <c r="AO51" s="7">
        <f>ROW()</f>
        <v>51</v>
      </c>
    </row>
    <row r="52" spans="2:41" ht="13.9" customHeight="1" x14ac:dyDescent="0.2">
      <c r="B52" s="42" t="s">
        <v>341</v>
      </c>
      <c r="M52" s="84"/>
      <c r="P52" s="22">
        <f t="shared" ref="P52:AL52" si="8">P49*P18*100/(2000)</f>
        <v>0.58040427708332265</v>
      </c>
      <c r="Q52" s="22">
        <f t="shared" si="8"/>
        <v>0.63162535800930042</v>
      </c>
      <c r="R52" s="22">
        <f t="shared" si="8"/>
        <v>0.68715411809603721</v>
      </c>
      <c r="S52" s="22">
        <f t="shared" si="8"/>
        <v>0.74731028075084016</v>
      </c>
      <c r="T52" s="22">
        <f t="shared" si="8"/>
        <v>0.81242857122124756</v>
      </c>
      <c r="U52" s="22">
        <f t="shared" si="8"/>
        <v>0.88285745792249448</v>
      </c>
      <c r="V52" s="22">
        <f t="shared" si="8"/>
        <v>0.95895732256630462</v>
      </c>
      <c r="W52" s="22">
        <f t="shared" si="8"/>
        <v>1.0410979372504032</v>
      </c>
      <c r="X52" s="22">
        <f t="shared" si="8"/>
        <v>1.1296551080311121</v>
      </c>
      <c r="Y52" s="22">
        <f t="shared" si="8"/>
        <v>1.2250063244833389</v>
      </c>
      <c r="Z52" s="22">
        <f t="shared" si="8"/>
        <v>1.3275252337712882</v>
      </c>
      <c r="AA52" s="22">
        <f t="shared" si="8"/>
        <v>1.4375747364843636</v>
      </c>
      <c r="AB52" s="22">
        <f t="shared" si="8"/>
        <v>1.5554984809527439</v>
      </c>
      <c r="AC52" s="22">
        <f t="shared" si="8"/>
        <v>1.6816105144082036</v>
      </c>
      <c r="AD52" s="22">
        <f t="shared" si="8"/>
        <v>1.8161828352290841</v>
      </c>
      <c r="AE52" s="22">
        <f t="shared" si="8"/>
        <v>1.8023511416214295</v>
      </c>
      <c r="AF52" s="22">
        <f t="shared" si="8"/>
        <v>1.7886247874897052</v>
      </c>
      <c r="AG52" s="22">
        <f t="shared" si="8"/>
        <v>1.7750029705890444</v>
      </c>
      <c r="AH52" s="22">
        <f t="shared" si="8"/>
        <v>1.7614848947843214</v>
      </c>
      <c r="AI52" s="22">
        <f t="shared" si="8"/>
        <v>1.748069770003619</v>
      </c>
      <c r="AJ52" s="22">
        <f t="shared" si="8"/>
        <v>1.7347568121920542</v>
      </c>
      <c r="AK52" s="22">
        <f t="shared" si="8"/>
        <v>1.7215452432659528</v>
      </c>
      <c r="AL52" s="22">
        <f t="shared" si="8"/>
        <v>1.7084342910673733</v>
      </c>
      <c r="AO52" s="7">
        <f>ROW()</f>
        <v>52</v>
      </c>
    </row>
    <row r="53" spans="2:41" ht="13.9" customHeight="1" x14ac:dyDescent="0.2">
      <c r="B53" t="s">
        <v>11</v>
      </c>
      <c r="I53" s="17"/>
      <c r="J53" s="17"/>
      <c r="K53" s="17">
        <f>1-1/G40</f>
        <v>5.9731123347548709E-2</v>
      </c>
      <c r="M53" s="84"/>
      <c r="P53" s="3" t="s">
        <v>298</v>
      </c>
      <c r="AO53" s="7">
        <f>ROW()</f>
        <v>53</v>
      </c>
    </row>
    <row r="54" spans="2:41" ht="13.9" customHeight="1" x14ac:dyDescent="0.2">
      <c r="B54" t="s">
        <v>322</v>
      </c>
      <c r="H54" s="22"/>
      <c r="I54" s="22"/>
      <c r="J54" s="22"/>
      <c r="M54" s="84"/>
      <c r="N54" s="155"/>
      <c r="O54" s="276" t="s">
        <v>442</v>
      </c>
      <c r="P54" s="7">
        <f t="shared" ref="P54:AL54" si="9">P52/(1-$K$53)</f>
        <v>0.61727479393945284</v>
      </c>
      <c r="Q54" s="7">
        <f t="shared" si="9"/>
        <v>0.6717497236088632</v>
      </c>
      <c r="R54" s="7">
        <f t="shared" si="9"/>
        <v>0.73080598024518884</v>
      </c>
      <c r="S54" s="7">
        <f t="shared" si="9"/>
        <v>0.79478359786981034</v>
      </c>
      <c r="T54" s="7">
        <f t="shared" si="9"/>
        <v>0.86403856534490298</v>
      </c>
      <c r="U54" s="7">
        <f t="shared" si="9"/>
        <v>0.93894148774300268</v>
      </c>
      <c r="V54" s="7">
        <f t="shared" si="9"/>
        <v>1.0198756402321727</v>
      </c>
      <c r="W54" s="7">
        <f t="shared" si="9"/>
        <v>1.1072342848961714</v>
      </c>
      <c r="X54" s="7">
        <f t="shared" si="9"/>
        <v>1.2014171010880572</v>
      </c>
      <c r="Y54" s="7">
        <f t="shared" si="9"/>
        <v>1.3028255586259656</v>
      </c>
      <c r="Z54" s="7">
        <f t="shared" si="9"/>
        <v>1.4118570408259692</v>
      </c>
      <c r="AA54" s="7">
        <f t="shared" si="9"/>
        <v>1.528897501746971</v>
      </c>
      <c r="AB54" s="7">
        <f t="shared" si="9"/>
        <v>1.6543124201777637</v>
      </c>
      <c r="AC54" s="7">
        <f t="shared" si="9"/>
        <v>1.7884357933818671</v>
      </c>
      <c r="AD54" s="7">
        <f t="shared" si="9"/>
        <v>1.9315568985916718</v>
      </c>
      <c r="AE54" s="7">
        <f t="shared" si="9"/>
        <v>1.9168465386604805</v>
      </c>
      <c r="AF54" s="7">
        <f t="shared" si="9"/>
        <v>1.9022482099562561</v>
      </c>
      <c r="AG54" s="7">
        <f t="shared" si="9"/>
        <v>1.8877610592710636</v>
      </c>
      <c r="AH54" s="7">
        <f t="shared" si="9"/>
        <v>1.8733842398948335</v>
      </c>
      <c r="AI54" s="7">
        <f t="shared" si="9"/>
        <v>1.8591169115658739</v>
      </c>
      <c r="AJ54" s="7">
        <f t="shared" si="9"/>
        <v>1.844958240421763</v>
      </c>
      <c r="AK54" s="7">
        <f t="shared" si="9"/>
        <v>1.8309073989506113</v>
      </c>
      <c r="AL54" s="7">
        <f t="shared" si="9"/>
        <v>1.8169635659426986</v>
      </c>
      <c r="AO54" s="7">
        <f>ROW()</f>
        <v>54</v>
      </c>
    </row>
    <row r="55" spans="2:41" ht="13.9" customHeight="1" x14ac:dyDescent="0.2">
      <c r="M55"/>
      <c r="N55"/>
      <c r="AO55" s="7">
        <f>ROW()</f>
        <v>55</v>
      </c>
    </row>
    <row r="56" spans="2:41" s="9" customFormat="1" ht="13.9" customHeight="1" x14ac:dyDescent="0.2">
      <c r="I56" s="26"/>
      <c r="J56" s="26"/>
      <c r="K56" s="14">
        <f t="shared" ref="K56:P56" si="10">K7</f>
        <v>2007</v>
      </c>
      <c r="L56" s="14">
        <f t="shared" si="10"/>
        <v>2008</v>
      </c>
      <c r="M56" s="14">
        <f t="shared" si="10"/>
        <v>2009</v>
      </c>
      <c r="N56" s="14">
        <f t="shared" si="10"/>
        <v>2010</v>
      </c>
      <c r="O56" s="14">
        <f t="shared" si="10"/>
        <v>2011</v>
      </c>
      <c r="P56" s="14">
        <f t="shared" si="10"/>
        <v>2012</v>
      </c>
      <c r="Q56" s="14">
        <f t="shared" ref="Q56:AL56" si="11">Q7</f>
        <v>2013</v>
      </c>
      <c r="R56" s="14">
        <f t="shared" si="11"/>
        <v>2014</v>
      </c>
      <c r="S56" s="14">
        <f t="shared" si="11"/>
        <v>2015</v>
      </c>
      <c r="T56" s="14">
        <f t="shared" si="11"/>
        <v>2016</v>
      </c>
      <c r="U56" s="14">
        <f t="shared" si="11"/>
        <v>2017</v>
      </c>
      <c r="V56" s="14">
        <f t="shared" si="11"/>
        <v>2018</v>
      </c>
      <c r="W56" s="14">
        <f t="shared" si="11"/>
        <v>2019</v>
      </c>
      <c r="X56" s="14">
        <f t="shared" si="11"/>
        <v>2020</v>
      </c>
      <c r="Y56" s="14">
        <f t="shared" si="11"/>
        <v>2021</v>
      </c>
      <c r="Z56" s="14">
        <f t="shared" si="11"/>
        <v>2022</v>
      </c>
      <c r="AA56" s="14">
        <f t="shared" si="11"/>
        <v>2023</v>
      </c>
      <c r="AB56" s="14">
        <f t="shared" si="11"/>
        <v>2024</v>
      </c>
      <c r="AC56" s="14">
        <f t="shared" si="11"/>
        <v>2025</v>
      </c>
      <c r="AD56" s="14">
        <f t="shared" si="11"/>
        <v>2026</v>
      </c>
      <c r="AE56" s="14">
        <f t="shared" si="11"/>
        <v>2027</v>
      </c>
      <c r="AF56" s="14">
        <f t="shared" si="11"/>
        <v>2028</v>
      </c>
      <c r="AG56" s="14">
        <f t="shared" si="11"/>
        <v>2029</v>
      </c>
      <c r="AH56" s="14">
        <f t="shared" si="11"/>
        <v>2030</v>
      </c>
      <c r="AI56" s="14">
        <f t="shared" si="11"/>
        <v>2031</v>
      </c>
      <c r="AJ56" s="14">
        <f t="shared" si="11"/>
        <v>2032</v>
      </c>
      <c r="AK56" s="14">
        <f t="shared" si="11"/>
        <v>2033</v>
      </c>
      <c r="AL56" s="14">
        <f t="shared" si="11"/>
        <v>2034</v>
      </c>
      <c r="AM56" s="27"/>
      <c r="AO56" s="8">
        <f>ROW()</f>
        <v>56</v>
      </c>
    </row>
    <row r="57" spans="2:41" s="9" customFormat="1" ht="13.9" customHeight="1" x14ac:dyDescent="0.2">
      <c r="B57" s="9" t="s">
        <v>533</v>
      </c>
      <c r="H57" s="26"/>
      <c r="I57" s="26"/>
      <c r="J57" s="26"/>
      <c r="M57" s="135"/>
      <c r="N57" s="457" t="str">
        <f>CONCATENATE("Initial row in this block is derived through a calculation on Row ",AO122, ". Remaining rows employ Rows ",AO18, ", ",AO25, ", ",AO27, ", ",AO43, ", and ",AO49, " along with Cell F",AO40, ".")</f>
        <v>Initial row in this block is derived through a calculation on Row 122. Remaining rows employ Rows 18, 25, 27, 43, and 49 along with Cell F40.</v>
      </c>
      <c r="O57" s="458"/>
      <c r="P57" s="27">
        <f t="shared" ref="P57:AL57" si="12">P122*P25</f>
        <v>-16.764904296788369</v>
      </c>
      <c r="Q57" s="27">
        <f t="shared" si="12"/>
        <v>-35.40328348909712</v>
      </c>
      <c r="R57" s="27">
        <f t="shared" si="12"/>
        <v>-56.082216050737919</v>
      </c>
      <c r="S57" s="27">
        <f t="shared" si="12"/>
        <v>-78.979687646418071</v>
      </c>
      <c r="T57" s="27">
        <f t="shared" si="12"/>
        <v>-104.28456232077085</v>
      </c>
      <c r="U57" s="27">
        <f t="shared" si="12"/>
        <v>-132.19638021622316</v>
      </c>
      <c r="V57" s="27">
        <f t="shared" si="12"/>
        <v>-162.9249481561753</v>
      </c>
      <c r="W57" s="27">
        <f t="shared" si="12"/>
        <v>-196.68968715143436</v>
      </c>
      <c r="X57" s="27">
        <f t="shared" si="12"/>
        <v>-233.71869935069796</v>
      </c>
      <c r="Y57" s="27">
        <f t="shared" si="12"/>
        <v>-274.24751645957753</v>
      </c>
      <c r="Z57" s="27">
        <f t="shared" si="12"/>
        <v>-300.33967336333421</v>
      </c>
      <c r="AA57" s="27">
        <f t="shared" si="12"/>
        <v>-328.59609451911712</v>
      </c>
      <c r="AB57" s="27">
        <f t="shared" si="12"/>
        <v>-359.13812894253238</v>
      </c>
      <c r="AC57" s="27">
        <f t="shared" si="12"/>
        <v>-391.88922215010138</v>
      </c>
      <c r="AD57" s="27">
        <f t="shared" si="12"/>
        <v>-426.75965760313375</v>
      </c>
      <c r="AE57" s="27">
        <f t="shared" si="12"/>
        <v>-463.64652235170951</v>
      </c>
      <c r="AF57" s="27">
        <f t="shared" si="12"/>
        <v>-502.43377879134852</v>
      </c>
      <c r="AG57" s="27">
        <f t="shared" si="12"/>
        <v>-542.99245781100399</v>
      </c>
      <c r="AH57" s="27">
        <f t="shared" si="12"/>
        <v>-585.18099068138292</v>
      </c>
      <c r="AI57" s="27">
        <f t="shared" si="12"/>
        <v>-628.8456994192386</v>
      </c>
      <c r="AJ57" s="27">
        <f t="shared" si="12"/>
        <v>-673.82146811145219</v>
      </c>
      <c r="AK57" s="27">
        <f t="shared" si="12"/>
        <v>-719.93262084142418</v>
      </c>
      <c r="AL57" s="27">
        <f t="shared" si="12"/>
        <v>-766.99403548022633</v>
      </c>
      <c r="AO57" s="7">
        <f>ROW()</f>
        <v>57</v>
      </c>
    </row>
    <row r="58" spans="2:41" s="9" customFormat="1" ht="13.9" customHeight="1" x14ac:dyDescent="0.2">
      <c r="B58" s="9" t="s">
        <v>342</v>
      </c>
      <c r="M58"/>
      <c r="N58" s="459"/>
      <c r="O58" s="460"/>
      <c r="P58" s="27">
        <f>P25+P57</f>
        <v>3943.5395145907655</v>
      </c>
      <c r="Q58" s="27">
        <f t="shared" ref="Q58:AL58" si="13">Q25+Q57</f>
        <v>3984.1584141167195</v>
      </c>
      <c r="R58" s="27">
        <f t="shared" si="13"/>
        <v>4023.6234156184073</v>
      </c>
      <c r="S58" s="27">
        <f t="shared" si="13"/>
        <v>4061.7698002857242</v>
      </c>
      <c r="T58" s="27">
        <f t="shared" si="13"/>
        <v>4098.4221694380531</v>
      </c>
      <c r="U58" s="27">
        <f t="shared" si="13"/>
        <v>4133.3946497766501</v>
      </c>
      <c r="V58" s="27">
        <f t="shared" si="13"/>
        <v>4166.4913058161746</v>
      </c>
      <c r="W58" s="27">
        <f t="shared" si="13"/>
        <v>4197.5067954380584</v>
      </c>
      <c r="X58" s="27">
        <f t="shared" si="13"/>
        <v>4226.22730604562</v>
      </c>
      <c r="Y58" s="27">
        <f t="shared" si="13"/>
        <v>4252.4318092971007</v>
      </c>
      <c r="Z58" s="27">
        <f t="shared" si="13"/>
        <v>4294.0714906821559</v>
      </c>
      <c r="AA58" s="27">
        <f t="shared" si="13"/>
        <v>4334.5603663767142</v>
      </c>
      <c r="AB58" s="27">
        <f t="shared" si="13"/>
        <v>4373.7922515520841</v>
      </c>
      <c r="AC58" s="27">
        <f t="shared" si="13"/>
        <v>4411.8590917774927</v>
      </c>
      <c r="AD58" s="27">
        <f t="shared" si="13"/>
        <v>4448.8662249712543</v>
      </c>
      <c r="AE58" s="27">
        <f t="shared" si="13"/>
        <v>4484.9324192026352</v>
      </c>
      <c r="AF58" s="27">
        <f t="shared" si="13"/>
        <v>4520.1898044325835</v>
      </c>
      <c r="AG58" s="27">
        <f t="shared" si="13"/>
        <v>4554.7836829154703</v>
      </c>
      <c r="AH58" s="27">
        <f t="shared" si="13"/>
        <v>4588.8722009136181</v>
      </c>
      <c r="AI58" s="27">
        <f t="shared" si="13"/>
        <v>4622.6258619897644</v>
      </c>
      <c r="AJ58" s="27">
        <f t="shared" si="13"/>
        <v>4656.22685939445</v>
      </c>
      <c r="AK58" s="27">
        <f t="shared" si="13"/>
        <v>4689.8682019066364</v>
      </c>
      <c r="AL58" s="27">
        <f t="shared" si="13"/>
        <v>4723.7526038659216</v>
      </c>
      <c r="AO58" s="7">
        <f>ROW()</f>
        <v>58</v>
      </c>
    </row>
    <row r="59" spans="2:41" s="9" customFormat="1" ht="13.9" customHeight="1" x14ac:dyDescent="0.2">
      <c r="B59" s="9" t="s">
        <v>146</v>
      </c>
      <c r="M59"/>
      <c r="N59" s="459"/>
      <c r="O59" s="460"/>
      <c r="P59" s="27">
        <f t="shared" ref="P59:AL59" si="14">P58*$G$40</f>
        <v>4194.0551394517806</v>
      </c>
      <c r="Q59" s="27">
        <f t="shared" si="14"/>
        <v>4237.2543780255019</v>
      </c>
      <c r="R59" s="27">
        <f t="shared" si="14"/>
        <v>4279.2264165366469</v>
      </c>
      <c r="S59" s="27">
        <f t="shared" si="14"/>
        <v>4319.796072317582</v>
      </c>
      <c r="T59" s="27">
        <f t="shared" si="14"/>
        <v>4358.7768043852211</v>
      </c>
      <c r="U59" s="27">
        <f t="shared" si="14"/>
        <v>4395.970931732184</v>
      </c>
      <c r="V59" s="27">
        <f t="shared" si="14"/>
        <v>4431.1700719582814</v>
      </c>
      <c r="W59" s="27">
        <f t="shared" si="14"/>
        <v>4464.1558384682876</v>
      </c>
      <c r="X59" s="27">
        <f t="shared" si="14"/>
        <v>4494.7008360968512</v>
      </c>
      <c r="Y59" s="27">
        <f t="shared" si="14"/>
        <v>4522.5699955491709</v>
      </c>
      <c r="Z59" s="27">
        <f t="shared" si="14"/>
        <v>4566.8548617390434</v>
      </c>
      <c r="AA59" s="27">
        <f t="shared" si="14"/>
        <v>4609.9158166423967</v>
      </c>
      <c r="AB59" s="27">
        <f t="shared" si="14"/>
        <v>4651.6399299779814</v>
      </c>
      <c r="AC59" s="27">
        <f t="shared" si="14"/>
        <v>4692.1249882104039</v>
      </c>
      <c r="AD59" s="27">
        <f t="shared" si="14"/>
        <v>4731.4830209100655</v>
      </c>
      <c r="AE59" s="27">
        <f t="shared" si="14"/>
        <v>4769.8403409564171</v>
      </c>
      <c r="AF59" s="27">
        <f t="shared" si="14"/>
        <v>4807.3374719424719</v>
      </c>
      <c r="AG59" s="27">
        <f t="shared" si="14"/>
        <v>4844.128946532217</v>
      </c>
      <c r="AH59" s="27">
        <f t="shared" si="14"/>
        <v>4880.3829573206103</v>
      </c>
      <c r="AI59" s="27">
        <f t="shared" si="14"/>
        <v>4916.2808392076677</v>
      </c>
      <c r="AJ59" s="27">
        <f t="shared" si="14"/>
        <v>4952.0163593753796</v>
      </c>
      <c r="AK59" s="27">
        <f t="shared" si="14"/>
        <v>4987.7947875968439</v>
      </c>
      <c r="AL59" s="27">
        <f t="shared" si="14"/>
        <v>5023.8317157571382</v>
      </c>
      <c r="AO59" s="7">
        <f>ROW()</f>
        <v>59</v>
      </c>
    </row>
    <row r="60" spans="2:41" s="9" customFormat="1" ht="13.9" customHeight="1" x14ac:dyDescent="0.2">
      <c r="B60" s="9" t="s">
        <v>194</v>
      </c>
      <c r="H60" s="26"/>
      <c r="I60" s="26"/>
      <c r="J60" s="26"/>
      <c r="M60"/>
      <c r="N60" s="459"/>
      <c r="O60" s="460"/>
      <c r="P60" s="27">
        <f>P59*P49*1000000/(Parameters!$J$15*1000)</f>
        <v>2207.9342777878501</v>
      </c>
      <c r="Q60" s="27">
        <f>Q59*Q49*1000000/(Parameters!$J$15*1000)</f>
        <v>2206.8499802076544</v>
      </c>
      <c r="R60" s="27">
        <f>R59*R49*1000000/(Parameters!$J$15*1000)</f>
        <v>2204.2226003174642</v>
      </c>
      <c r="S60" s="27">
        <f>S59*S49*1000000/(Parameters!$J$15*1000)</f>
        <v>2199.9233458484509</v>
      </c>
      <c r="T60" s="27">
        <f>T59*T49*1000000/(Parameters!$J$15*1000)</f>
        <v>2193.817418862106</v>
      </c>
      <c r="U60" s="27">
        <f>U59*U49*1000000/(Parameters!$J$15*1000)</f>
        <v>2185.7645504303664</v>
      </c>
      <c r="V60" s="27">
        <f>V59*V49*1000000/(Parameters!$J$15*1000)</f>
        <v>2175.6197348288356</v>
      </c>
      <c r="W60" s="27">
        <f>W59*W49*1000000/(Parameters!$J$15*1000)</f>
        <v>2163.2341915159077</v>
      </c>
      <c r="X60" s="27">
        <f>X59*X49*1000000/(Parameters!$J$15*1000)</f>
        <v>2148.4565833151059</v>
      </c>
      <c r="Y60" s="27">
        <f>Y59*Y49*1000000/(Parameters!$J$15*1000)</f>
        <v>2131.1345182520149</v>
      </c>
      <c r="Z60" s="27">
        <f>Z59*Z49*1000000/(Parameters!$J$15*1000)</f>
        <v>2120.0912071062553</v>
      </c>
      <c r="AA60" s="27">
        <f>AA59*AA49*1000000/(Parameters!$J$15*1000)</f>
        <v>2106.8096153138608</v>
      </c>
      <c r="AB60" s="27">
        <f>AB59*AB49*1000000/(Parameters!$J$15*1000)</f>
        <v>2091.1484346749653</v>
      </c>
      <c r="AC60" s="27">
        <f>AC59*AC49*1000000/(Parameters!$J$15*1000)</f>
        <v>2073.0581350085859</v>
      </c>
      <c r="AD60" s="27">
        <f>AD59*AD49*1000000/(Parameters!$J$15*1000)</f>
        <v>2052.4881690088232</v>
      </c>
      <c r="AE60" s="27">
        <f>AE59*AE49*1000000/(Parameters!$J$15*1000)</f>
        <v>2053.3692684877742</v>
      </c>
      <c r="AF60" s="27">
        <f>AF59*AF49*1000000/(Parameters!$J$15*1000)</f>
        <v>2053.7504193449213</v>
      </c>
      <c r="AG60" s="27">
        <f>AG59*AG49*1000000/(Parameters!$J$15*1000)</f>
        <v>2053.7074995430867</v>
      </c>
      <c r="AH60" s="27">
        <f>AH59*AH49*1000000/(Parameters!$J$15*1000)</f>
        <v>2053.3199882130798</v>
      </c>
      <c r="AI60" s="27">
        <f>AI59*AI49*1000000/(Parameters!$J$15*1000)</f>
        <v>2052.670570534327</v>
      </c>
      <c r="AJ60" s="27">
        <f>AJ59*AJ49*1000000/(Parameters!$J$15*1000)</f>
        <v>2051.8446771728536</v>
      </c>
      <c r="AK60" s="27">
        <f>AK59*AK49*1000000/(Parameters!$J$15*1000)</f>
        <v>2050.9299509689477</v>
      </c>
      <c r="AL60" s="27">
        <f>AL59*AL49*1000000/(Parameters!$J$15*1000)</f>
        <v>2050.0156325561547</v>
      </c>
      <c r="AO60" s="7">
        <f>ROW()</f>
        <v>60</v>
      </c>
    </row>
    <row r="61" spans="2:41" s="9" customFormat="1" ht="13.9" customHeight="1" x14ac:dyDescent="0.2">
      <c r="B61" s="9" t="s">
        <v>587</v>
      </c>
      <c r="H61" s="26"/>
      <c r="I61" s="26"/>
      <c r="J61" s="26"/>
      <c r="M61"/>
      <c r="N61" s="459"/>
      <c r="O61" s="460"/>
      <c r="P61" s="179">
        <f t="shared" ref="P61:AL61" si="15">P60-P43</f>
        <v>-79.055512019454</v>
      </c>
      <c r="Q61" s="179">
        <f t="shared" si="15"/>
        <v>-96.681722448793153</v>
      </c>
      <c r="R61" s="179">
        <f t="shared" si="15"/>
        <v>-115.97066368062497</v>
      </c>
      <c r="S61" s="179">
        <f t="shared" si="15"/>
        <v>-137.05199340737681</v>
      </c>
      <c r="T61" s="179">
        <f t="shared" si="15"/>
        <v>-160.06138125080997</v>
      </c>
      <c r="U61" s="179">
        <f t="shared" si="15"/>
        <v>-185.13997412716753</v>
      </c>
      <c r="V61" s="179">
        <f t="shared" si="15"/>
        <v>-212.43366209956093</v>
      </c>
      <c r="W61" s="179">
        <f t="shared" si="15"/>
        <v>-242.09211644477591</v>
      </c>
      <c r="X61" s="179">
        <f t="shared" si="15"/>
        <v>-274.26757151720312</v>
      </c>
      <c r="Y61" s="179">
        <f t="shared" si="15"/>
        <v>-309.11332295850389</v>
      </c>
      <c r="Z61" s="179">
        <f t="shared" si="15"/>
        <v>-337.80707019257488</v>
      </c>
      <c r="AA61" s="179">
        <f t="shared" si="15"/>
        <v>-368.86676457044814</v>
      </c>
      <c r="AB61" s="179">
        <f t="shared" si="15"/>
        <v>-402.43463771022289</v>
      </c>
      <c r="AC61" s="179">
        <f t="shared" si="15"/>
        <v>-438.56114989024582</v>
      </c>
      <c r="AD61" s="179">
        <f t="shared" si="15"/>
        <v>-477.29778524121866</v>
      </c>
      <c r="AE61" s="179">
        <f t="shared" si="15"/>
        <v>-494.7147555519532</v>
      </c>
      <c r="AF61" s="179">
        <f t="shared" si="15"/>
        <v>-512.76402534898398</v>
      </c>
      <c r="AG61" s="179">
        <f t="shared" si="15"/>
        <v>-531.37067396998964</v>
      </c>
      <c r="AH61" s="179">
        <f t="shared" si="15"/>
        <v>-550.45618650886036</v>
      </c>
      <c r="AI61" s="179">
        <f t="shared" si="15"/>
        <v>-569.93884898515671</v>
      </c>
      <c r="AJ61" s="179">
        <f t="shared" si="15"/>
        <v>-589.73420895657637</v>
      </c>
      <c r="AK61" s="179">
        <f t="shared" si="15"/>
        <v>-609.75560888208656</v>
      </c>
      <c r="AL61" s="179">
        <f t="shared" si="15"/>
        <v>-629.91480055412558</v>
      </c>
      <c r="AO61" s="7">
        <f>ROW()</f>
        <v>61</v>
      </c>
    </row>
    <row r="62" spans="2:41" s="9" customFormat="1" ht="13.9" customHeight="1" x14ac:dyDescent="0.2">
      <c r="B62" s="9" t="s">
        <v>588</v>
      </c>
      <c r="H62" s="26"/>
      <c r="I62" s="26"/>
      <c r="J62" s="26"/>
      <c r="M62" s="179"/>
      <c r="N62" s="459"/>
      <c r="O62" s="460"/>
      <c r="P62" s="28">
        <f>P60-$M$43</f>
        <v>42.034277787849987</v>
      </c>
      <c r="Q62" s="28">
        <f t="shared" ref="Q62:AL62" si="16">Q60-$M$43</f>
        <v>40.949980207654335</v>
      </c>
      <c r="R62" s="28">
        <f t="shared" si="16"/>
        <v>38.322600317464094</v>
      </c>
      <c r="S62" s="28">
        <f t="shared" si="16"/>
        <v>34.023345848450845</v>
      </c>
      <c r="T62" s="28">
        <f t="shared" si="16"/>
        <v>27.917418862105933</v>
      </c>
      <c r="U62" s="28">
        <f t="shared" si="16"/>
        <v>19.864550430366307</v>
      </c>
      <c r="V62" s="28">
        <f t="shared" si="16"/>
        <v>9.7197348288354988</v>
      </c>
      <c r="W62" s="28">
        <f t="shared" si="16"/>
        <v>-2.6658084840923948</v>
      </c>
      <c r="X62" s="28">
        <f t="shared" si="16"/>
        <v>-17.443416684894146</v>
      </c>
      <c r="Y62" s="28">
        <f t="shared" si="16"/>
        <v>-34.765481747985177</v>
      </c>
      <c r="Z62" s="28">
        <f t="shared" si="16"/>
        <v>-45.808792893744794</v>
      </c>
      <c r="AA62" s="28">
        <f t="shared" si="16"/>
        <v>-59.090384686139259</v>
      </c>
      <c r="AB62" s="28">
        <f t="shared" si="16"/>
        <v>-74.75156532503479</v>
      </c>
      <c r="AC62" s="28">
        <f t="shared" si="16"/>
        <v>-92.841864991414241</v>
      </c>
      <c r="AD62" s="28">
        <f t="shared" si="16"/>
        <v>-113.41183099117688</v>
      </c>
      <c r="AE62" s="28">
        <f t="shared" si="16"/>
        <v>-112.53073151222588</v>
      </c>
      <c r="AF62" s="28">
        <f t="shared" si="16"/>
        <v>-112.14958065507881</v>
      </c>
      <c r="AG62" s="28">
        <f t="shared" si="16"/>
        <v>-112.19250045691342</v>
      </c>
      <c r="AH62" s="28">
        <f t="shared" si="16"/>
        <v>-112.58001178692029</v>
      </c>
      <c r="AI62" s="28">
        <f t="shared" si="16"/>
        <v>-113.22942946567309</v>
      </c>
      <c r="AJ62" s="28">
        <f t="shared" si="16"/>
        <v>-114.05532282714648</v>
      </c>
      <c r="AK62" s="28">
        <f t="shared" si="16"/>
        <v>-114.97004903105244</v>
      </c>
      <c r="AL62" s="28">
        <f t="shared" si="16"/>
        <v>-115.88436744384535</v>
      </c>
      <c r="AM62" s="28"/>
      <c r="AO62" s="7">
        <f>ROW()</f>
        <v>62</v>
      </c>
    </row>
    <row r="63" spans="2:41" s="9" customFormat="1" ht="13.9" customHeight="1" x14ac:dyDescent="0.2">
      <c r="B63" s="9" t="s">
        <v>659</v>
      </c>
      <c r="H63" s="26"/>
      <c r="I63" s="26"/>
      <c r="J63" s="26"/>
      <c r="M63" s="179"/>
      <c r="N63" s="461"/>
      <c r="O63" s="462"/>
      <c r="P63" s="378">
        <f t="shared" ref="P63:AL63" si="17">P60*P18/1000</f>
        <v>22.079342777878502</v>
      </c>
      <c r="Q63" s="378">
        <f t="shared" si="17"/>
        <v>24.275349782284199</v>
      </c>
      <c r="R63" s="378">
        <f t="shared" si="17"/>
        <v>26.67109346384132</v>
      </c>
      <c r="S63" s="378">
        <f t="shared" si="17"/>
        <v>29.280979733242891</v>
      </c>
      <c r="T63" s="378">
        <f t="shared" si="17"/>
        <v>32.119680829560103</v>
      </c>
      <c r="U63" s="378">
        <f t="shared" si="17"/>
        <v>35.201956661136109</v>
      </c>
      <c r="V63" s="378">
        <f t="shared" si="17"/>
        <v>38.542430730531088</v>
      </c>
      <c r="W63" s="378">
        <f t="shared" si="17"/>
        <v>42.155314603117269</v>
      </c>
      <c r="X63" s="378">
        <f t="shared" si="17"/>
        <v>46.054074907650957</v>
      </c>
      <c r="Y63" s="378">
        <f t="shared" si="17"/>
        <v>50.251037165227388</v>
      </c>
      <c r="Z63" s="378">
        <f t="shared" si="17"/>
        <v>54.989705831561608</v>
      </c>
      <c r="AA63" s="378">
        <f t="shared" si="17"/>
        <v>60.109737100451639</v>
      </c>
      <c r="AB63" s="378">
        <f t="shared" si="17"/>
        <v>65.629195873196167</v>
      </c>
      <c r="AC63" s="378">
        <f t="shared" si="17"/>
        <v>71.567589252535925</v>
      </c>
      <c r="AD63" s="378">
        <f t="shared" si="17"/>
        <v>77.943204061267238</v>
      </c>
      <c r="AE63" s="378">
        <f t="shared" si="17"/>
        <v>77.976663799317436</v>
      </c>
      <c r="AF63" s="378">
        <f t="shared" si="17"/>
        <v>77.991137996774597</v>
      </c>
      <c r="AG63" s="378">
        <f t="shared" si="17"/>
        <v>77.9895081180142</v>
      </c>
      <c r="AH63" s="378">
        <f t="shared" si="17"/>
        <v>77.974792381706024</v>
      </c>
      <c r="AI63" s="378">
        <f t="shared" si="17"/>
        <v>77.950130756162778</v>
      </c>
      <c r="AJ63" s="378">
        <f t="shared" si="17"/>
        <v>77.918767469505084</v>
      </c>
      <c r="AK63" s="378">
        <f t="shared" si="17"/>
        <v>77.884030757134326</v>
      </c>
      <c r="AL63" s="378">
        <f t="shared" si="17"/>
        <v>77.849309530624311</v>
      </c>
      <c r="AM63" s="27"/>
      <c r="AO63" s="7">
        <f>ROW()</f>
        <v>63</v>
      </c>
    </row>
    <row r="64" spans="2:41" s="9" customFormat="1" ht="13.9" customHeight="1" x14ac:dyDescent="0.2">
      <c r="H64" s="26"/>
      <c r="I64" s="26"/>
      <c r="J64" s="26"/>
      <c r="M64" s="179"/>
      <c r="N64" s="266"/>
      <c r="O64" s="266"/>
      <c r="P64" s="80"/>
      <c r="Q64" s="80"/>
      <c r="R64" s="80"/>
      <c r="S64" s="80"/>
      <c r="T64" s="80"/>
      <c r="U64" s="80"/>
      <c r="V64" s="80"/>
      <c r="W64" s="80"/>
      <c r="X64" s="80"/>
      <c r="Y64" s="80"/>
      <c r="Z64" s="80"/>
      <c r="AA64" s="80"/>
      <c r="AB64" s="80"/>
      <c r="AC64" s="80"/>
      <c r="AD64" s="80"/>
      <c r="AE64" s="80"/>
      <c r="AF64" s="80"/>
      <c r="AG64" s="80"/>
      <c r="AH64" s="80"/>
      <c r="AI64" s="80"/>
      <c r="AJ64" s="80"/>
      <c r="AK64" s="80"/>
      <c r="AL64" s="80"/>
      <c r="AM64" s="27"/>
      <c r="AO64" s="7">
        <f>ROW()</f>
        <v>64</v>
      </c>
    </row>
    <row r="65" spans="2:41" ht="13.9" customHeight="1" x14ac:dyDescent="0.2">
      <c r="M65" s="84"/>
      <c r="O65"/>
      <c r="AO65" s="7">
        <f>ROW()</f>
        <v>65</v>
      </c>
    </row>
    <row r="66" spans="2:41" ht="13.9" customHeight="1" x14ac:dyDescent="0.2">
      <c r="B66" s="42" t="s">
        <v>192</v>
      </c>
      <c r="H66" s="6"/>
      <c r="I66" s="6"/>
      <c r="J66" s="6"/>
      <c r="M66" s="84"/>
      <c r="P66" s="16">
        <f t="shared" ref="P66:AL66" si="18">P21/O21-1</f>
        <v>6.2477205864317042E-2</v>
      </c>
      <c r="Q66" s="16">
        <f t="shared" si="18"/>
        <v>5.1894354238359863E-3</v>
      </c>
      <c r="R66" s="16">
        <f t="shared" si="18"/>
        <v>5.596821208163183E-3</v>
      </c>
      <c r="S66" s="16">
        <f t="shared" si="18"/>
        <v>6.0294776611440337E-3</v>
      </c>
      <c r="T66" s="16">
        <f t="shared" si="18"/>
        <v>6.4877162932754917E-3</v>
      </c>
      <c r="U66" s="16">
        <f t="shared" si="18"/>
        <v>6.9715798154059705E-3</v>
      </c>
      <c r="V66" s="16">
        <f t="shared" si="18"/>
        <v>7.4807829010685722E-3</v>
      </c>
      <c r="W66" s="16">
        <f t="shared" si="18"/>
        <v>8.0146459966525807E-3</v>
      </c>
      <c r="X66" s="16">
        <f t="shared" si="18"/>
        <v>8.5720221986489431E-3</v>
      </c>
      <c r="Y66" s="16">
        <f t="shared" si="18"/>
        <v>9.1512174492514031E-3</v>
      </c>
      <c r="Z66" s="16">
        <f t="shared" si="18"/>
        <v>9.7499045861357825E-3</v>
      </c>
      <c r="AA66" s="16">
        <f t="shared" si="18"/>
        <v>1.036503211985762E-2</v>
      </c>
      <c r="AB66" s="16">
        <f t="shared" si="18"/>
        <v>1.099272900046544E-2</v>
      </c>
      <c r="AC66" s="16">
        <f t="shared" si="18"/>
        <v>1.1628207067590157E-2</v>
      </c>
      <c r="AD66" s="16">
        <f t="shared" si="18"/>
        <v>1.2265663345465638E-2</v>
      </c>
      <c r="AE66" s="16">
        <f t="shared" si="18"/>
        <v>-1.2454209091558033E-3</v>
      </c>
      <c r="AF66" s="16">
        <f t="shared" si="18"/>
        <v>-1.2374772068436402E-3</v>
      </c>
      <c r="AG66" s="16">
        <f t="shared" si="18"/>
        <v>-1.2295743925129221E-3</v>
      </c>
      <c r="AH66" s="16">
        <f t="shared" si="18"/>
        <v>-1.2217123804449947E-3</v>
      </c>
      <c r="AI66" s="16">
        <f t="shared" si="18"/>
        <v>-1.2138910834321726E-3</v>
      </c>
      <c r="AJ66" s="16">
        <f t="shared" si="18"/>
        <v>-1.2061104127996103E-3</v>
      </c>
      <c r="AK66" s="16">
        <f t="shared" si="18"/>
        <v>-1.1983702784297279E-3</v>
      </c>
      <c r="AL66" s="16">
        <f t="shared" si="18"/>
        <v>-1.190670588784748E-3</v>
      </c>
      <c r="AO66" s="7">
        <f>ROW()</f>
        <v>66</v>
      </c>
    </row>
    <row r="67" spans="2:41" ht="13.9" customHeight="1" x14ac:dyDescent="0.2">
      <c r="M67" s="84"/>
      <c r="AO67" s="7">
        <f>ROW()</f>
        <v>67</v>
      </c>
    </row>
    <row r="68" spans="2:41" ht="13.9" customHeight="1" x14ac:dyDescent="0.2">
      <c r="B68" s="66" t="s">
        <v>188</v>
      </c>
      <c r="H68" s="66">
        <f>-Parameters!F42</f>
        <v>0.7</v>
      </c>
      <c r="I68" s="66"/>
      <c r="J68" s="66"/>
      <c r="M68" s="84"/>
      <c r="AO68" s="7">
        <f>ROW()</f>
        <v>68</v>
      </c>
    </row>
    <row r="69" spans="2:41" ht="13.9" customHeight="1" x14ac:dyDescent="0.2">
      <c r="B69" s="110" t="str">
        <f>CONCATENATE("Sourced in 'Parameters' worksheet tab, Row ",Parameters!O42, ".")</f>
        <v>Sourced in 'Parameters' worksheet tab, Row 42.</v>
      </c>
      <c r="M69"/>
      <c r="N69"/>
      <c r="O69"/>
      <c r="R69" s="448" t="s">
        <v>299</v>
      </c>
      <c r="S69" s="449"/>
      <c r="T69" s="449"/>
      <c r="U69" s="449"/>
      <c r="V69" s="449"/>
      <c r="W69" s="449"/>
      <c r="X69" s="449"/>
      <c r="Y69" s="449"/>
      <c r="Z69" s="449"/>
      <c r="AA69" s="449"/>
      <c r="AB69" s="449"/>
      <c r="AO69" s="7">
        <f>ROW()</f>
        <v>69</v>
      </c>
    </row>
    <row r="70" spans="2:41" ht="13.9" customHeight="1" x14ac:dyDescent="0.2">
      <c r="M70"/>
      <c r="N70"/>
      <c r="O70"/>
      <c r="R70" s="449"/>
      <c r="S70" s="449"/>
      <c r="T70" s="449"/>
      <c r="U70" s="449"/>
      <c r="V70" s="449"/>
      <c r="W70" s="449"/>
      <c r="X70" s="449"/>
      <c r="Y70" s="449"/>
      <c r="Z70" s="449"/>
      <c r="AA70" s="449"/>
      <c r="AB70" s="449"/>
      <c r="AO70" s="7">
        <f>ROW()</f>
        <v>70</v>
      </c>
    </row>
    <row r="71" spans="2:41" ht="13.9" customHeight="1" x14ac:dyDescent="0.2">
      <c r="B71" s="66" t="s">
        <v>197</v>
      </c>
      <c r="H71" s="65">
        <v>10</v>
      </c>
      <c r="I71" s="65"/>
      <c r="J71" s="65"/>
      <c r="K71" s="3" t="s">
        <v>174</v>
      </c>
      <c r="L71" s="3"/>
      <c r="M71" s="84"/>
      <c r="R71" s="449"/>
      <c r="S71" s="449"/>
      <c r="T71" s="449"/>
      <c r="U71" s="449"/>
      <c r="V71" s="449"/>
      <c r="W71" s="449"/>
      <c r="X71" s="449"/>
      <c r="Y71" s="449"/>
      <c r="Z71" s="449"/>
      <c r="AA71" s="449"/>
      <c r="AB71" s="449"/>
      <c r="AO71" s="7">
        <f>ROW()</f>
        <v>71</v>
      </c>
    </row>
    <row r="72" spans="2:41" s="74" customFormat="1" ht="13.9" customHeight="1" x14ac:dyDescent="0.2">
      <c r="B72" s="74" t="s">
        <v>190</v>
      </c>
      <c r="H72" s="74">
        <f>P7</f>
        <v>2012</v>
      </c>
      <c r="M72" s="207"/>
      <c r="N72" s="207"/>
      <c r="O72" s="207"/>
      <c r="R72" s="449"/>
      <c r="S72" s="449"/>
      <c r="T72" s="449"/>
      <c r="U72" s="449"/>
      <c r="V72" s="449"/>
      <c r="W72" s="449"/>
      <c r="X72" s="449"/>
      <c r="Y72" s="449"/>
      <c r="Z72" s="449"/>
      <c r="AA72" s="449"/>
      <c r="AB72" s="449"/>
      <c r="AO72" s="7">
        <f>ROW()</f>
        <v>72</v>
      </c>
    </row>
    <row r="73" spans="2:41" ht="13.9" customHeight="1" x14ac:dyDescent="0.2">
      <c r="M73" s="84"/>
      <c r="AO73" s="7">
        <f>ROW()</f>
        <v>73</v>
      </c>
    </row>
    <row r="74" spans="2:41" s="6" customFormat="1" ht="13.9" customHeight="1" x14ac:dyDescent="0.2">
      <c r="B74" s="6" t="s">
        <v>232</v>
      </c>
      <c r="H74">
        <f>H72</f>
        <v>2012</v>
      </c>
      <c r="I74"/>
      <c r="J74"/>
      <c r="M74" s="208"/>
      <c r="N74" s="208"/>
      <c r="O74" s="208"/>
      <c r="P74" s="6">
        <f>IF(P7&gt;=Summary!$J$98+$H$71,$H$68,((P7-$H$72+1)/$H$71)*$H$68)</f>
        <v>6.9999999999999993E-2</v>
      </c>
      <c r="Q74" s="6">
        <f>IF(Q7&gt;=Summary!$J$98+$H$71,$H$68,((Q7-$H$72+1)/$H$71)*$H$68)</f>
        <v>0.13999999999999999</v>
      </c>
      <c r="R74" s="6">
        <f>IF(R7&gt;=Summary!$J$98+$H$71,$H$68,((R7-$H$72+1)/$H$71)*$H$68)</f>
        <v>0.21</v>
      </c>
      <c r="S74" s="6">
        <f>IF(S7&gt;=Summary!$J$98+$H$71,$H$68,((S7-$H$72+1)/$H$71)*$H$68)</f>
        <v>0.27999999999999997</v>
      </c>
      <c r="T74" s="6">
        <f>IF(T7&gt;=Summary!$J$98+$H$71,$H$68,((T7-$H$72+1)/$H$71)*$H$68)</f>
        <v>0.35</v>
      </c>
      <c r="U74" s="6">
        <f>IF(U7&gt;=Summary!$J$98+$H$71,$H$68,((U7-$H$72+1)/$H$71)*$H$68)</f>
        <v>0.42</v>
      </c>
      <c r="V74" s="6">
        <f>IF(V7&gt;=Summary!$J$98+$H$71,$H$68,((V7-$H$72+1)/$H$71)*$H$68)</f>
        <v>0.48999999999999994</v>
      </c>
      <c r="W74" s="6">
        <f>IF(W7&gt;=Summary!$J$98+$H$71,$H$68,((W7-$H$72+1)/$H$71)*$H$68)</f>
        <v>0.55999999999999994</v>
      </c>
      <c r="X74" s="6">
        <f>IF(X7&gt;=Summary!$J$98+$H$71,$H$68,((X7-$H$72+1)/$H$71)*$H$68)</f>
        <v>0.63</v>
      </c>
      <c r="Y74" s="6">
        <f>IF(Y7&gt;=Summary!$J$98+$H$71,$H$68,((Y7-$H$72+1)/$H$71)*$H$68)</f>
        <v>0.7</v>
      </c>
      <c r="Z74" s="6">
        <f>IF(Z7&gt;=Summary!$J$98+$H$71,$H$68,((Z7-$H$72+1)/$H$71)*$H$68)</f>
        <v>0.7</v>
      </c>
      <c r="AA74" s="6">
        <f>IF(AA7&gt;=Summary!$J$98+$H$71,$H$68,((AA7-$H$72+1)/$H$71)*$H$68)</f>
        <v>0.7</v>
      </c>
      <c r="AB74" s="6">
        <f>IF(AB7&gt;=Summary!$J$98+$H$71,$H$68,((AB7-$H$72+1)/$H$71)*$H$68)</f>
        <v>0.7</v>
      </c>
      <c r="AC74" s="6">
        <f>IF(AC7&gt;=Summary!$J$98+$H$71,$H$68,((AC7-$H$72+1)/$H$71)*$H$68)</f>
        <v>0.7</v>
      </c>
      <c r="AD74" s="6">
        <f>IF(AD7&gt;=Summary!$J$98+$H$71,$H$68,((AD7-$H$72+1)/$H$71)*$H$68)</f>
        <v>0.7</v>
      </c>
      <c r="AE74" s="6">
        <f>IF(AE7&gt;=Summary!$J$98+$H$71,$H$68,((AE7-$H$72+1)/$H$71)*$H$68)</f>
        <v>0.7</v>
      </c>
      <c r="AF74" s="6">
        <f>IF(AF7&gt;=Summary!$J$98+$H$71,$H$68,((AF7-$H$72+1)/$H$71)*$H$68)</f>
        <v>0.7</v>
      </c>
      <c r="AG74" s="6">
        <f>IF(AG7&gt;=Summary!$J$98+$H$71,$H$68,((AG7-$H$72+1)/$H$71)*$H$68)</f>
        <v>0.7</v>
      </c>
      <c r="AH74" s="6">
        <f>IF(AH7&gt;=Summary!$J$98+$H$71,$H$68,((AH7-$H$72+1)/$H$71)*$H$68)</f>
        <v>0.7</v>
      </c>
      <c r="AI74" s="6">
        <f>IF(AI7&gt;=Summary!$J$98+$H$71,$H$68,((AI7-$H$72+1)/$H$71)*$H$68)</f>
        <v>0.7</v>
      </c>
      <c r="AJ74" s="6">
        <f>IF(AJ7&gt;=Summary!$J$98+$H$71,$H$68,((AJ7-$H$72+1)/$H$71)*$H$68)</f>
        <v>0.7</v>
      </c>
      <c r="AK74" s="6">
        <f>IF(AK7&gt;=Summary!$J$98+$H$71,$H$68,((AK7-$H$72+1)/$H$71)*$H$68)</f>
        <v>0.7</v>
      </c>
      <c r="AL74" s="6">
        <f>IF(AL7&gt;=Summary!$J$98+$H$71,$H$68,((AL7-$H$72+1)/$H$71)*$H$68)</f>
        <v>0.7</v>
      </c>
      <c r="AO74" s="7">
        <f>ROW()</f>
        <v>74</v>
      </c>
    </row>
    <row r="75" spans="2:41" s="6" customFormat="1" ht="13.9" customHeight="1" x14ac:dyDescent="0.2">
      <c r="B75" s="6" t="s">
        <v>232</v>
      </c>
      <c r="H75">
        <f t="shared" ref="H75:H86" si="19">H74+1</f>
        <v>2013</v>
      </c>
      <c r="I75"/>
      <c r="J75"/>
      <c r="M75" s="208"/>
      <c r="N75" s="208"/>
      <c r="O75" s="208"/>
      <c r="Q75" s="6">
        <f t="shared" ref="Q75:AL75" si="20">P74</f>
        <v>6.9999999999999993E-2</v>
      </c>
      <c r="R75" s="6">
        <f t="shared" si="20"/>
        <v>0.13999999999999999</v>
      </c>
      <c r="S75" s="6">
        <f t="shared" si="20"/>
        <v>0.21</v>
      </c>
      <c r="T75" s="6">
        <f t="shared" si="20"/>
        <v>0.27999999999999997</v>
      </c>
      <c r="U75" s="6">
        <f t="shared" si="20"/>
        <v>0.35</v>
      </c>
      <c r="V75" s="6">
        <f t="shared" si="20"/>
        <v>0.42</v>
      </c>
      <c r="W75" s="6">
        <f t="shared" si="20"/>
        <v>0.48999999999999994</v>
      </c>
      <c r="X75" s="6">
        <f t="shared" si="20"/>
        <v>0.55999999999999994</v>
      </c>
      <c r="Y75" s="6">
        <f t="shared" si="20"/>
        <v>0.63</v>
      </c>
      <c r="Z75" s="6">
        <f t="shared" si="20"/>
        <v>0.7</v>
      </c>
      <c r="AA75" s="6">
        <f t="shared" si="20"/>
        <v>0.7</v>
      </c>
      <c r="AB75" s="6">
        <f t="shared" si="20"/>
        <v>0.7</v>
      </c>
      <c r="AC75" s="6">
        <f t="shared" si="20"/>
        <v>0.7</v>
      </c>
      <c r="AD75" s="6">
        <f t="shared" si="20"/>
        <v>0.7</v>
      </c>
      <c r="AE75" s="6">
        <f t="shared" si="20"/>
        <v>0.7</v>
      </c>
      <c r="AF75" s="6">
        <f t="shared" si="20"/>
        <v>0.7</v>
      </c>
      <c r="AG75" s="6">
        <f t="shared" si="20"/>
        <v>0.7</v>
      </c>
      <c r="AH75" s="6">
        <f t="shared" si="20"/>
        <v>0.7</v>
      </c>
      <c r="AI75" s="6">
        <f t="shared" si="20"/>
        <v>0.7</v>
      </c>
      <c r="AJ75" s="6">
        <f t="shared" si="20"/>
        <v>0.7</v>
      </c>
      <c r="AK75" s="6">
        <f t="shared" si="20"/>
        <v>0.7</v>
      </c>
      <c r="AL75" s="6">
        <f t="shared" si="20"/>
        <v>0.7</v>
      </c>
      <c r="AO75" s="7">
        <f>ROW()</f>
        <v>75</v>
      </c>
    </row>
    <row r="76" spans="2:41" s="6" customFormat="1" ht="13.9" customHeight="1" x14ac:dyDescent="0.2">
      <c r="B76" s="6" t="s">
        <v>232</v>
      </c>
      <c r="H76">
        <f t="shared" si="19"/>
        <v>2014</v>
      </c>
      <c r="I76"/>
      <c r="J76"/>
      <c r="M76" s="208"/>
      <c r="N76" s="208"/>
      <c r="O76" s="208"/>
      <c r="R76" s="6">
        <f t="shared" ref="R76:AL76" si="21">Q75</f>
        <v>6.9999999999999993E-2</v>
      </c>
      <c r="S76" s="6">
        <f t="shared" si="21"/>
        <v>0.13999999999999999</v>
      </c>
      <c r="T76" s="6">
        <f t="shared" si="21"/>
        <v>0.21</v>
      </c>
      <c r="U76" s="6">
        <f t="shared" si="21"/>
        <v>0.27999999999999997</v>
      </c>
      <c r="V76" s="6">
        <f t="shared" si="21"/>
        <v>0.35</v>
      </c>
      <c r="W76" s="6">
        <f t="shared" si="21"/>
        <v>0.42</v>
      </c>
      <c r="X76" s="6">
        <f t="shared" si="21"/>
        <v>0.48999999999999994</v>
      </c>
      <c r="Y76" s="6">
        <f t="shared" si="21"/>
        <v>0.55999999999999994</v>
      </c>
      <c r="Z76" s="6">
        <f t="shared" si="21"/>
        <v>0.63</v>
      </c>
      <c r="AA76" s="6">
        <f t="shared" si="21"/>
        <v>0.7</v>
      </c>
      <c r="AB76" s="6">
        <f t="shared" si="21"/>
        <v>0.7</v>
      </c>
      <c r="AC76" s="6">
        <f t="shared" si="21"/>
        <v>0.7</v>
      </c>
      <c r="AD76" s="6">
        <f t="shared" si="21"/>
        <v>0.7</v>
      </c>
      <c r="AE76" s="6">
        <f t="shared" si="21"/>
        <v>0.7</v>
      </c>
      <c r="AF76" s="6">
        <f t="shared" si="21"/>
        <v>0.7</v>
      </c>
      <c r="AG76" s="6">
        <f t="shared" si="21"/>
        <v>0.7</v>
      </c>
      <c r="AH76" s="6">
        <f t="shared" si="21"/>
        <v>0.7</v>
      </c>
      <c r="AI76" s="6">
        <f t="shared" si="21"/>
        <v>0.7</v>
      </c>
      <c r="AJ76" s="6">
        <f t="shared" si="21"/>
        <v>0.7</v>
      </c>
      <c r="AK76" s="6">
        <f t="shared" si="21"/>
        <v>0.7</v>
      </c>
      <c r="AL76" s="6">
        <f t="shared" si="21"/>
        <v>0.7</v>
      </c>
      <c r="AO76" s="7">
        <f>ROW()</f>
        <v>76</v>
      </c>
    </row>
    <row r="77" spans="2:41" s="6" customFormat="1" ht="13.9" customHeight="1" x14ac:dyDescent="0.2">
      <c r="B77" s="6" t="s">
        <v>232</v>
      </c>
      <c r="H77">
        <f t="shared" si="19"/>
        <v>2015</v>
      </c>
      <c r="I77"/>
      <c r="J77"/>
      <c r="K77"/>
      <c r="L77"/>
      <c r="M77" s="208"/>
      <c r="N77" s="208"/>
      <c r="O77" s="208"/>
      <c r="S77" s="6">
        <f>R76</f>
        <v>6.9999999999999993E-2</v>
      </c>
      <c r="T77" s="6">
        <f t="shared" ref="T77:AL86" si="22">S76</f>
        <v>0.13999999999999999</v>
      </c>
      <c r="U77" s="6">
        <f t="shared" si="22"/>
        <v>0.21</v>
      </c>
      <c r="V77" s="6">
        <f t="shared" si="22"/>
        <v>0.27999999999999997</v>
      </c>
      <c r="W77" s="6">
        <f t="shared" si="22"/>
        <v>0.35</v>
      </c>
      <c r="X77" s="6">
        <f t="shared" si="22"/>
        <v>0.42</v>
      </c>
      <c r="Y77" s="6">
        <f t="shared" si="22"/>
        <v>0.48999999999999994</v>
      </c>
      <c r="Z77" s="6">
        <f t="shared" si="22"/>
        <v>0.55999999999999994</v>
      </c>
      <c r="AA77" s="6">
        <f t="shared" si="22"/>
        <v>0.63</v>
      </c>
      <c r="AB77" s="6">
        <f t="shared" si="22"/>
        <v>0.7</v>
      </c>
      <c r="AC77" s="6">
        <f t="shared" si="22"/>
        <v>0.7</v>
      </c>
      <c r="AD77" s="6">
        <f t="shared" si="22"/>
        <v>0.7</v>
      </c>
      <c r="AE77" s="6">
        <f t="shared" si="22"/>
        <v>0.7</v>
      </c>
      <c r="AF77" s="6">
        <f t="shared" si="22"/>
        <v>0.7</v>
      </c>
      <c r="AG77" s="6">
        <f t="shared" si="22"/>
        <v>0.7</v>
      </c>
      <c r="AH77" s="6">
        <f t="shared" si="22"/>
        <v>0.7</v>
      </c>
      <c r="AI77" s="6">
        <f t="shared" si="22"/>
        <v>0.7</v>
      </c>
      <c r="AJ77" s="6">
        <f t="shared" si="22"/>
        <v>0.7</v>
      </c>
      <c r="AK77" s="6">
        <f t="shared" si="22"/>
        <v>0.7</v>
      </c>
      <c r="AL77" s="6">
        <f t="shared" si="22"/>
        <v>0.7</v>
      </c>
      <c r="AO77" s="7">
        <f>ROW()</f>
        <v>77</v>
      </c>
    </row>
    <row r="78" spans="2:41" s="6" customFormat="1" ht="13.9" customHeight="1" x14ac:dyDescent="0.2">
      <c r="B78" s="6" t="s">
        <v>232</v>
      </c>
      <c r="H78">
        <f t="shared" si="19"/>
        <v>2016</v>
      </c>
      <c r="I78"/>
      <c r="J78"/>
      <c r="K78"/>
      <c r="L78"/>
      <c r="M78" s="208"/>
      <c r="N78" s="208"/>
      <c r="O78" s="208"/>
      <c r="T78" s="6">
        <f>S77</f>
        <v>6.9999999999999993E-2</v>
      </c>
      <c r="U78" s="6">
        <f t="shared" si="22"/>
        <v>0.13999999999999999</v>
      </c>
      <c r="V78" s="6">
        <f t="shared" si="22"/>
        <v>0.21</v>
      </c>
      <c r="W78" s="6">
        <f t="shared" si="22"/>
        <v>0.27999999999999997</v>
      </c>
      <c r="X78" s="6">
        <f t="shared" si="22"/>
        <v>0.35</v>
      </c>
      <c r="Y78" s="6">
        <f t="shared" si="22"/>
        <v>0.42</v>
      </c>
      <c r="Z78" s="6">
        <f t="shared" si="22"/>
        <v>0.48999999999999994</v>
      </c>
      <c r="AA78" s="6">
        <f t="shared" si="22"/>
        <v>0.55999999999999994</v>
      </c>
      <c r="AB78" s="6">
        <f t="shared" si="22"/>
        <v>0.63</v>
      </c>
      <c r="AC78" s="6">
        <f t="shared" si="22"/>
        <v>0.7</v>
      </c>
      <c r="AD78" s="6">
        <f t="shared" si="22"/>
        <v>0.7</v>
      </c>
      <c r="AE78" s="6">
        <f t="shared" si="22"/>
        <v>0.7</v>
      </c>
      <c r="AF78" s="6">
        <f t="shared" si="22"/>
        <v>0.7</v>
      </c>
      <c r="AG78" s="6">
        <f t="shared" si="22"/>
        <v>0.7</v>
      </c>
      <c r="AH78" s="6">
        <f t="shared" si="22"/>
        <v>0.7</v>
      </c>
      <c r="AI78" s="6">
        <f t="shared" si="22"/>
        <v>0.7</v>
      </c>
      <c r="AJ78" s="6">
        <f t="shared" si="22"/>
        <v>0.7</v>
      </c>
      <c r="AK78" s="6">
        <f t="shared" si="22"/>
        <v>0.7</v>
      </c>
      <c r="AL78" s="6">
        <f t="shared" si="22"/>
        <v>0.7</v>
      </c>
      <c r="AO78" s="7">
        <f>ROW()</f>
        <v>78</v>
      </c>
    </row>
    <row r="79" spans="2:41" s="6" customFormat="1" ht="13.9" customHeight="1" x14ac:dyDescent="0.2">
      <c r="B79" s="6" t="s">
        <v>232</v>
      </c>
      <c r="H79">
        <f t="shared" si="19"/>
        <v>2017</v>
      </c>
      <c r="I79"/>
      <c r="J79"/>
      <c r="K79"/>
      <c r="L79"/>
      <c r="M79" s="208"/>
      <c r="N79" s="208"/>
      <c r="O79" s="208"/>
      <c r="U79" s="6">
        <f>T78</f>
        <v>6.9999999999999993E-2</v>
      </c>
      <c r="V79" s="6">
        <f t="shared" si="22"/>
        <v>0.13999999999999999</v>
      </c>
      <c r="W79" s="6">
        <f t="shared" si="22"/>
        <v>0.21</v>
      </c>
      <c r="X79" s="6">
        <f t="shared" si="22"/>
        <v>0.27999999999999997</v>
      </c>
      <c r="Y79" s="6">
        <f t="shared" si="22"/>
        <v>0.35</v>
      </c>
      <c r="Z79" s="6">
        <f t="shared" si="22"/>
        <v>0.42</v>
      </c>
      <c r="AA79" s="6">
        <f t="shared" si="22"/>
        <v>0.48999999999999994</v>
      </c>
      <c r="AB79" s="6">
        <f t="shared" si="22"/>
        <v>0.55999999999999994</v>
      </c>
      <c r="AC79" s="6">
        <f t="shared" si="22"/>
        <v>0.63</v>
      </c>
      <c r="AD79" s="6">
        <f t="shared" si="22"/>
        <v>0.7</v>
      </c>
      <c r="AE79" s="6">
        <f t="shared" si="22"/>
        <v>0.7</v>
      </c>
      <c r="AF79" s="6">
        <f t="shared" si="22"/>
        <v>0.7</v>
      </c>
      <c r="AG79" s="6">
        <f t="shared" si="22"/>
        <v>0.7</v>
      </c>
      <c r="AH79" s="6">
        <f t="shared" si="22"/>
        <v>0.7</v>
      </c>
      <c r="AI79" s="6">
        <f t="shared" si="22"/>
        <v>0.7</v>
      </c>
      <c r="AJ79" s="6">
        <f t="shared" si="22"/>
        <v>0.7</v>
      </c>
      <c r="AK79" s="6">
        <f t="shared" si="22"/>
        <v>0.7</v>
      </c>
      <c r="AL79" s="6">
        <f t="shared" si="22"/>
        <v>0.7</v>
      </c>
      <c r="AO79" s="7">
        <f>ROW()</f>
        <v>79</v>
      </c>
    </row>
    <row r="80" spans="2:41" s="6" customFormat="1" ht="13.9" customHeight="1" x14ac:dyDescent="0.2">
      <c r="B80" s="6" t="s">
        <v>232</v>
      </c>
      <c r="H80">
        <f t="shared" si="19"/>
        <v>2018</v>
      </c>
      <c r="I80"/>
      <c r="J80"/>
      <c r="K80"/>
      <c r="L80"/>
      <c r="M80" s="208"/>
      <c r="N80" s="208"/>
      <c r="O80" s="208"/>
      <c r="V80" s="6">
        <f>U79</f>
        <v>6.9999999999999993E-2</v>
      </c>
      <c r="W80" s="6">
        <f t="shared" si="22"/>
        <v>0.13999999999999999</v>
      </c>
      <c r="X80" s="6">
        <f t="shared" si="22"/>
        <v>0.21</v>
      </c>
      <c r="Y80" s="6">
        <f t="shared" si="22"/>
        <v>0.27999999999999997</v>
      </c>
      <c r="Z80" s="6">
        <f t="shared" si="22"/>
        <v>0.35</v>
      </c>
      <c r="AA80" s="6">
        <f t="shared" si="22"/>
        <v>0.42</v>
      </c>
      <c r="AB80" s="6">
        <f t="shared" si="22"/>
        <v>0.48999999999999994</v>
      </c>
      <c r="AC80" s="6">
        <f t="shared" si="22"/>
        <v>0.55999999999999994</v>
      </c>
      <c r="AD80" s="6">
        <f t="shared" si="22"/>
        <v>0.63</v>
      </c>
      <c r="AE80" s="6">
        <f t="shared" si="22"/>
        <v>0.7</v>
      </c>
      <c r="AF80" s="6">
        <f t="shared" si="22"/>
        <v>0.7</v>
      </c>
      <c r="AG80" s="6">
        <f t="shared" si="22"/>
        <v>0.7</v>
      </c>
      <c r="AH80" s="6">
        <f t="shared" si="22"/>
        <v>0.7</v>
      </c>
      <c r="AI80" s="6">
        <f t="shared" si="22"/>
        <v>0.7</v>
      </c>
      <c r="AJ80" s="6">
        <f t="shared" si="22"/>
        <v>0.7</v>
      </c>
      <c r="AK80" s="6">
        <f t="shared" si="22"/>
        <v>0.7</v>
      </c>
      <c r="AL80" s="6">
        <f t="shared" si="22"/>
        <v>0.7</v>
      </c>
      <c r="AO80" s="7">
        <f>ROW()</f>
        <v>80</v>
      </c>
    </row>
    <row r="81" spans="2:41" s="6" customFormat="1" ht="13.9" customHeight="1" x14ac:dyDescent="0.2">
      <c r="B81" s="6" t="s">
        <v>232</v>
      </c>
      <c r="H81">
        <f t="shared" si="19"/>
        <v>2019</v>
      </c>
      <c r="I81"/>
      <c r="J81"/>
      <c r="K81"/>
      <c r="L81"/>
      <c r="M81" s="208"/>
      <c r="N81" s="208"/>
      <c r="O81" s="208"/>
      <c r="W81" s="6">
        <f>V80</f>
        <v>6.9999999999999993E-2</v>
      </c>
      <c r="X81" s="6">
        <f t="shared" si="22"/>
        <v>0.13999999999999999</v>
      </c>
      <c r="Y81" s="6">
        <f t="shared" si="22"/>
        <v>0.21</v>
      </c>
      <c r="Z81" s="6">
        <f t="shared" si="22"/>
        <v>0.27999999999999997</v>
      </c>
      <c r="AA81" s="6">
        <f t="shared" si="22"/>
        <v>0.35</v>
      </c>
      <c r="AB81" s="6">
        <f t="shared" si="22"/>
        <v>0.42</v>
      </c>
      <c r="AC81" s="6">
        <f t="shared" si="22"/>
        <v>0.48999999999999994</v>
      </c>
      <c r="AD81" s="6">
        <f t="shared" si="22"/>
        <v>0.55999999999999994</v>
      </c>
      <c r="AE81" s="6">
        <f t="shared" si="22"/>
        <v>0.63</v>
      </c>
      <c r="AF81" s="6">
        <f t="shared" si="22"/>
        <v>0.7</v>
      </c>
      <c r="AG81" s="6">
        <f t="shared" si="22"/>
        <v>0.7</v>
      </c>
      <c r="AH81" s="6">
        <f t="shared" si="22"/>
        <v>0.7</v>
      </c>
      <c r="AI81" s="6">
        <f t="shared" si="22"/>
        <v>0.7</v>
      </c>
      <c r="AJ81" s="6">
        <f t="shared" si="22"/>
        <v>0.7</v>
      </c>
      <c r="AK81" s="6">
        <f t="shared" si="22"/>
        <v>0.7</v>
      </c>
      <c r="AL81" s="6">
        <f t="shared" si="22"/>
        <v>0.7</v>
      </c>
      <c r="AO81" s="7">
        <f>ROW()</f>
        <v>81</v>
      </c>
    </row>
    <row r="82" spans="2:41" s="6" customFormat="1" ht="13.9" customHeight="1" x14ac:dyDescent="0.2">
      <c r="B82" s="6" t="s">
        <v>232</v>
      </c>
      <c r="H82">
        <f t="shared" si="19"/>
        <v>2020</v>
      </c>
      <c r="I82"/>
      <c r="J82"/>
      <c r="K82"/>
      <c r="L82"/>
      <c r="M82" s="208"/>
      <c r="N82" s="208"/>
      <c r="O82" s="208"/>
      <c r="T82" s="29"/>
      <c r="X82" s="6">
        <f>W81</f>
        <v>6.9999999999999993E-2</v>
      </c>
      <c r="Y82" s="6">
        <f t="shared" si="22"/>
        <v>0.13999999999999999</v>
      </c>
      <c r="Z82" s="6">
        <f t="shared" si="22"/>
        <v>0.21</v>
      </c>
      <c r="AA82" s="6">
        <f t="shared" si="22"/>
        <v>0.27999999999999997</v>
      </c>
      <c r="AB82" s="6">
        <f t="shared" si="22"/>
        <v>0.35</v>
      </c>
      <c r="AC82" s="6">
        <f t="shared" si="22"/>
        <v>0.42</v>
      </c>
      <c r="AD82" s="6">
        <f t="shared" si="22"/>
        <v>0.48999999999999994</v>
      </c>
      <c r="AE82" s="6">
        <f t="shared" si="22"/>
        <v>0.55999999999999994</v>
      </c>
      <c r="AF82" s="6">
        <f t="shared" si="22"/>
        <v>0.63</v>
      </c>
      <c r="AG82" s="6">
        <f t="shared" si="22"/>
        <v>0.7</v>
      </c>
      <c r="AH82" s="6">
        <f t="shared" si="22"/>
        <v>0.7</v>
      </c>
      <c r="AI82" s="6">
        <f t="shared" si="22"/>
        <v>0.7</v>
      </c>
      <c r="AJ82" s="6">
        <f t="shared" si="22"/>
        <v>0.7</v>
      </c>
      <c r="AK82" s="6">
        <f t="shared" si="22"/>
        <v>0.7</v>
      </c>
      <c r="AL82" s="6">
        <f t="shared" si="22"/>
        <v>0.7</v>
      </c>
      <c r="AO82" s="7">
        <f>ROW()</f>
        <v>82</v>
      </c>
    </row>
    <row r="83" spans="2:41" s="6" customFormat="1" ht="13.9" customHeight="1" x14ac:dyDescent="0.2">
      <c r="B83" s="6" t="s">
        <v>232</v>
      </c>
      <c r="H83">
        <f t="shared" si="19"/>
        <v>2021</v>
      </c>
      <c r="I83"/>
      <c r="J83"/>
      <c r="K83"/>
      <c r="L83"/>
      <c r="M83" s="208"/>
      <c r="N83" s="208"/>
      <c r="O83" s="208"/>
      <c r="T83" s="29"/>
      <c r="Y83" s="6">
        <f>X82</f>
        <v>6.9999999999999993E-2</v>
      </c>
      <c r="Z83" s="6">
        <f t="shared" si="22"/>
        <v>0.13999999999999999</v>
      </c>
      <c r="AA83" s="6">
        <f t="shared" si="22"/>
        <v>0.21</v>
      </c>
      <c r="AB83" s="6">
        <f t="shared" si="22"/>
        <v>0.27999999999999997</v>
      </c>
      <c r="AC83" s="6">
        <f t="shared" si="22"/>
        <v>0.35</v>
      </c>
      <c r="AD83" s="6">
        <f t="shared" si="22"/>
        <v>0.42</v>
      </c>
      <c r="AE83" s="6">
        <f t="shared" si="22"/>
        <v>0.48999999999999994</v>
      </c>
      <c r="AF83" s="6">
        <f t="shared" si="22"/>
        <v>0.55999999999999994</v>
      </c>
      <c r="AG83" s="6">
        <f t="shared" si="22"/>
        <v>0.63</v>
      </c>
      <c r="AH83" s="6">
        <f t="shared" si="22"/>
        <v>0.7</v>
      </c>
      <c r="AI83" s="6">
        <f t="shared" si="22"/>
        <v>0.7</v>
      </c>
      <c r="AJ83" s="6">
        <f t="shared" si="22"/>
        <v>0.7</v>
      </c>
      <c r="AK83" s="6">
        <f t="shared" si="22"/>
        <v>0.7</v>
      </c>
      <c r="AL83" s="6">
        <f t="shared" si="22"/>
        <v>0.7</v>
      </c>
      <c r="AO83" s="7">
        <f>ROW()</f>
        <v>83</v>
      </c>
    </row>
    <row r="84" spans="2:41" s="6" customFormat="1" ht="13.9" customHeight="1" x14ac:dyDescent="0.2">
      <c r="B84" s="6" t="s">
        <v>232</v>
      </c>
      <c r="H84">
        <f t="shared" si="19"/>
        <v>2022</v>
      </c>
      <c r="I84"/>
      <c r="J84"/>
      <c r="K84"/>
      <c r="L84"/>
      <c r="M84" s="208"/>
      <c r="N84" s="208"/>
      <c r="O84" s="208"/>
      <c r="T84" s="29"/>
      <c r="Z84" s="6">
        <f>Y83</f>
        <v>6.9999999999999993E-2</v>
      </c>
      <c r="AA84" s="6">
        <f t="shared" si="22"/>
        <v>0.13999999999999999</v>
      </c>
      <c r="AB84" s="6">
        <f t="shared" si="22"/>
        <v>0.21</v>
      </c>
      <c r="AC84" s="6">
        <f t="shared" si="22"/>
        <v>0.27999999999999997</v>
      </c>
      <c r="AD84" s="6">
        <f t="shared" si="22"/>
        <v>0.35</v>
      </c>
      <c r="AE84" s="6">
        <f t="shared" si="22"/>
        <v>0.42</v>
      </c>
      <c r="AF84" s="6">
        <f t="shared" si="22"/>
        <v>0.48999999999999994</v>
      </c>
      <c r="AG84" s="6">
        <f t="shared" si="22"/>
        <v>0.55999999999999994</v>
      </c>
      <c r="AH84" s="6">
        <f t="shared" si="22"/>
        <v>0.63</v>
      </c>
      <c r="AI84" s="6">
        <f t="shared" si="22"/>
        <v>0.7</v>
      </c>
      <c r="AJ84" s="6">
        <f t="shared" si="22"/>
        <v>0.7</v>
      </c>
      <c r="AK84" s="6">
        <f t="shared" si="22"/>
        <v>0.7</v>
      </c>
      <c r="AL84" s="6">
        <f t="shared" si="22"/>
        <v>0.7</v>
      </c>
      <c r="AO84" s="7">
        <f>ROW()</f>
        <v>84</v>
      </c>
    </row>
    <row r="85" spans="2:41" s="6" customFormat="1" ht="13.9" customHeight="1" x14ac:dyDescent="0.2">
      <c r="B85" s="6" t="s">
        <v>232</v>
      </c>
      <c r="H85">
        <f t="shared" si="19"/>
        <v>2023</v>
      </c>
      <c r="I85"/>
      <c r="J85"/>
      <c r="K85"/>
      <c r="L85"/>
      <c r="M85" s="208"/>
      <c r="N85" s="208"/>
      <c r="O85" s="208"/>
      <c r="T85" s="29"/>
      <c r="AA85" s="6">
        <f>Z84</f>
        <v>6.9999999999999993E-2</v>
      </c>
      <c r="AB85" s="6">
        <f t="shared" si="22"/>
        <v>0.13999999999999999</v>
      </c>
      <c r="AC85" s="6">
        <f t="shared" si="22"/>
        <v>0.21</v>
      </c>
      <c r="AD85" s="6">
        <f t="shared" si="22"/>
        <v>0.27999999999999997</v>
      </c>
      <c r="AE85" s="6">
        <f t="shared" si="22"/>
        <v>0.35</v>
      </c>
      <c r="AF85" s="6">
        <f t="shared" si="22"/>
        <v>0.42</v>
      </c>
      <c r="AG85" s="6">
        <f t="shared" si="22"/>
        <v>0.48999999999999994</v>
      </c>
      <c r="AH85" s="6">
        <f t="shared" si="22"/>
        <v>0.55999999999999994</v>
      </c>
      <c r="AI85" s="6">
        <f t="shared" si="22"/>
        <v>0.63</v>
      </c>
      <c r="AJ85" s="6">
        <f t="shared" si="22"/>
        <v>0.7</v>
      </c>
      <c r="AK85" s="6">
        <f t="shared" si="22"/>
        <v>0.7</v>
      </c>
      <c r="AL85" s="6">
        <f t="shared" si="22"/>
        <v>0.7</v>
      </c>
      <c r="AO85" s="7">
        <f>ROW()</f>
        <v>85</v>
      </c>
    </row>
    <row r="86" spans="2:41" s="6" customFormat="1" ht="13.9" customHeight="1" x14ac:dyDescent="0.2">
      <c r="B86" s="6" t="s">
        <v>232</v>
      </c>
      <c r="H86">
        <f t="shared" si="19"/>
        <v>2024</v>
      </c>
      <c r="I86"/>
      <c r="J86"/>
      <c r="K86"/>
      <c r="L86"/>
      <c r="M86" s="208"/>
      <c r="N86" s="208"/>
      <c r="O86" s="208"/>
      <c r="T86" s="29"/>
      <c r="AB86" s="6">
        <f>AA85</f>
        <v>6.9999999999999993E-2</v>
      </c>
      <c r="AC86" s="6">
        <f t="shared" si="22"/>
        <v>0.13999999999999999</v>
      </c>
      <c r="AD86" s="6">
        <f t="shared" si="22"/>
        <v>0.21</v>
      </c>
      <c r="AE86" s="6">
        <f t="shared" si="22"/>
        <v>0.27999999999999997</v>
      </c>
      <c r="AF86" s="6">
        <f t="shared" si="22"/>
        <v>0.35</v>
      </c>
      <c r="AG86" s="6">
        <f t="shared" si="22"/>
        <v>0.42</v>
      </c>
      <c r="AH86" s="6">
        <f t="shared" si="22"/>
        <v>0.48999999999999994</v>
      </c>
      <c r="AI86" s="6">
        <f t="shared" si="22"/>
        <v>0.55999999999999994</v>
      </c>
      <c r="AJ86" s="6">
        <f t="shared" si="22"/>
        <v>0.63</v>
      </c>
      <c r="AK86" s="6">
        <f t="shared" si="22"/>
        <v>0.7</v>
      </c>
      <c r="AL86" s="6">
        <f t="shared" si="22"/>
        <v>0.7</v>
      </c>
      <c r="AO86" s="7">
        <f>ROW()</f>
        <v>86</v>
      </c>
    </row>
    <row r="87" spans="2:41" s="6" customFormat="1" ht="13.9" customHeight="1" x14ac:dyDescent="0.2">
      <c r="B87" s="6" t="s">
        <v>232</v>
      </c>
      <c r="G87"/>
      <c r="H87">
        <f t="shared" ref="H87:H96" si="23">H86+1</f>
        <v>2025</v>
      </c>
      <c r="I87"/>
      <c r="J87"/>
      <c r="K87"/>
      <c r="L87"/>
      <c r="M87" s="208"/>
      <c r="N87" s="208"/>
      <c r="O87" s="208"/>
      <c r="T87" s="29"/>
      <c r="AC87" s="6">
        <f t="shared" ref="AC87:AL87" si="24">AB86</f>
        <v>6.9999999999999993E-2</v>
      </c>
      <c r="AD87" s="6">
        <f t="shared" si="24"/>
        <v>0.13999999999999999</v>
      </c>
      <c r="AE87" s="6">
        <f t="shared" si="24"/>
        <v>0.21</v>
      </c>
      <c r="AF87" s="6">
        <f t="shared" si="24"/>
        <v>0.27999999999999997</v>
      </c>
      <c r="AG87" s="6">
        <f t="shared" si="24"/>
        <v>0.35</v>
      </c>
      <c r="AH87" s="6">
        <f t="shared" si="24"/>
        <v>0.42</v>
      </c>
      <c r="AI87" s="6">
        <f t="shared" si="24"/>
        <v>0.48999999999999994</v>
      </c>
      <c r="AJ87" s="6">
        <f t="shared" si="24"/>
        <v>0.55999999999999994</v>
      </c>
      <c r="AK87" s="6">
        <f t="shared" si="24"/>
        <v>0.63</v>
      </c>
      <c r="AL87" s="6">
        <f t="shared" si="24"/>
        <v>0.7</v>
      </c>
      <c r="AO87" s="7">
        <f>ROW()</f>
        <v>87</v>
      </c>
    </row>
    <row r="88" spans="2:41" s="6" customFormat="1" ht="13.9" customHeight="1" x14ac:dyDescent="0.2">
      <c r="B88" s="6" t="s">
        <v>232</v>
      </c>
      <c r="G88"/>
      <c r="H88">
        <f t="shared" si="23"/>
        <v>2026</v>
      </c>
      <c r="I88"/>
      <c r="J88"/>
      <c r="K88"/>
      <c r="L88"/>
      <c r="M88" s="208"/>
      <c r="N88" s="208"/>
      <c r="O88" s="208"/>
      <c r="T88" s="29"/>
      <c r="AD88" s="6">
        <f t="shared" ref="AD88:AL88" si="25">AC87</f>
        <v>6.9999999999999993E-2</v>
      </c>
      <c r="AE88" s="6">
        <f t="shared" si="25"/>
        <v>0.13999999999999999</v>
      </c>
      <c r="AF88" s="6">
        <f t="shared" si="25"/>
        <v>0.21</v>
      </c>
      <c r="AG88" s="6">
        <f t="shared" si="25"/>
        <v>0.27999999999999997</v>
      </c>
      <c r="AH88" s="6">
        <f t="shared" si="25"/>
        <v>0.35</v>
      </c>
      <c r="AI88" s="6">
        <f t="shared" si="25"/>
        <v>0.42</v>
      </c>
      <c r="AJ88" s="6">
        <f t="shared" si="25"/>
        <v>0.48999999999999994</v>
      </c>
      <c r="AK88" s="6">
        <f t="shared" si="25"/>
        <v>0.55999999999999994</v>
      </c>
      <c r="AL88" s="6">
        <f t="shared" si="25"/>
        <v>0.63</v>
      </c>
      <c r="AO88" s="7">
        <f>ROW()</f>
        <v>88</v>
      </c>
    </row>
    <row r="89" spans="2:41" s="6" customFormat="1" ht="13.9" customHeight="1" x14ac:dyDescent="0.2">
      <c r="B89" s="6" t="s">
        <v>232</v>
      </c>
      <c r="G89"/>
      <c r="H89">
        <f t="shared" si="23"/>
        <v>2027</v>
      </c>
      <c r="I89"/>
      <c r="J89"/>
      <c r="K89"/>
      <c r="L89"/>
      <c r="M89" s="208"/>
      <c r="N89" s="208"/>
      <c r="O89" s="208"/>
      <c r="T89" s="29"/>
      <c r="AE89" s="6">
        <f>AD88</f>
        <v>6.9999999999999993E-2</v>
      </c>
      <c r="AF89" s="6">
        <f t="shared" ref="AF89:AL94" si="26">AE88</f>
        <v>0.13999999999999999</v>
      </c>
      <c r="AG89" s="6">
        <f t="shared" si="26"/>
        <v>0.21</v>
      </c>
      <c r="AH89" s="6">
        <f t="shared" si="26"/>
        <v>0.27999999999999997</v>
      </c>
      <c r="AI89" s="6">
        <f t="shared" si="26"/>
        <v>0.35</v>
      </c>
      <c r="AJ89" s="6">
        <f t="shared" si="26"/>
        <v>0.42</v>
      </c>
      <c r="AK89" s="6">
        <f t="shared" si="26"/>
        <v>0.48999999999999994</v>
      </c>
      <c r="AL89" s="6">
        <f t="shared" si="26"/>
        <v>0.55999999999999994</v>
      </c>
      <c r="AO89" s="7">
        <f>ROW()</f>
        <v>89</v>
      </c>
    </row>
    <row r="90" spans="2:41" s="6" customFormat="1" ht="13.9" customHeight="1" x14ac:dyDescent="0.2">
      <c r="B90" s="6" t="s">
        <v>232</v>
      </c>
      <c r="G90"/>
      <c r="H90">
        <f t="shared" si="23"/>
        <v>2028</v>
      </c>
      <c r="I90"/>
      <c r="J90"/>
      <c r="M90" s="84"/>
      <c r="N90" s="84"/>
      <c r="O90" s="84"/>
      <c r="T90" s="29"/>
      <c r="AF90" s="6">
        <f>AE89</f>
        <v>6.9999999999999993E-2</v>
      </c>
      <c r="AG90" s="6">
        <f t="shared" si="26"/>
        <v>0.13999999999999999</v>
      </c>
      <c r="AH90" s="6">
        <f t="shared" si="26"/>
        <v>0.21</v>
      </c>
      <c r="AI90" s="6">
        <f t="shared" si="26"/>
        <v>0.27999999999999997</v>
      </c>
      <c r="AJ90" s="6">
        <f t="shared" si="26"/>
        <v>0.35</v>
      </c>
      <c r="AK90" s="6">
        <f t="shared" si="26"/>
        <v>0.42</v>
      </c>
      <c r="AL90" s="6">
        <f t="shared" si="26"/>
        <v>0.48999999999999994</v>
      </c>
      <c r="AO90" s="7">
        <f>ROW()</f>
        <v>90</v>
      </c>
    </row>
    <row r="91" spans="2:41" s="6" customFormat="1" ht="13.9" customHeight="1" x14ac:dyDescent="0.2">
      <c r="B91" s="6" t="s">
        <v>232</v>
      </c>
      <c r="G91"/>
      <c r="H91">
        <f t="shared" si="23"/>
        <v>2029</v>
      </c>
      <c r="I91"/>
      <c r="J91"/>
      <c r="M91" s="84"/>
      <c r="N91" s="84"/>
      <c r="O91" s="84"/>
      <c r="T91" s="29"/>
      <c r="AG91" s="6">
        <f>AF90</f>
        <v>6.9999999999999993E-2</v>
      </c>
      <c r="AH91" s="6">
        <f t="shared" si="26"/>
        <v>0.13999999999999999</v>
      </c>
      <c r="AI91" s="6">
        <f t="shared" si="26"/>
        <v>0.21</v>
      </c>
      <c r="AJ91" s="6">
        <f t="shared" si="26"/>
        <v>0.27999999999999997</v>
      </c>
      <c r="AK91" s="6">
        <f t="shared" si="26"/>
        <v>0.35</v>
      </c>
      <c r="AL91" s="6">
        <f t="shared" si="26"/>
        <v>0.42</v>
      </c>
      <c r="AO91" s="7">
        <f>ROW()</f>
        <v>91</v>
      </c>
    </row>
    <row r="92" spans="2:41" s="6" customFormat="1" ht="13.9" customHeight="1" x14ac:dyDescent="0.2">
      <c r="B92" s="6" t="s">
        <v>232</v>
      </c>
      <c r="G92"/>
      <c r="H92">
        <f t="shared" si="23"/>
        <v>2030</v>
      </c>
      <c r="I92"/>
      <c r="J92"/>
      <c r="M92" s="84"/>
      <c r="N92" s="84"/>
      <c r="O92" s="84"/>
      <c r="T92" s="29"/>
      <c r="AH92" s="6">
        <f>AG91</f>
        <v>6.9999999999999993E-2</v>
      </c>
      <c r="AI92" s="6">
        <f t="shared" si="26"/>
        <v>0.13999999999999999</v>
      </c>
      <c r="AJ92" s="6">
        <f t="shared" si="26"/>
        <v>0.21</v>
      </c>
      <c r="AK92" s="6">
        <f t="shared" si="26"/>
        <v>0.27999999999999997</v>
      </c>
      <c r="AL92" s="6">
        <f t="shared" si="26"/>
        <v>0.35</v>
      </c>
      <c r="AO92" s="7">
        <f>ROW()</f>
        <v>92</v>
      </c>
    </row>
    <row r="93" spans="2:41" s="6" customFormat="1" ht="13.9" customHeight="1" x14ac:dyDescent="0.2">
      <c r="B93" s="6" t="s">
        <v>232</v>
      </c>
      <c r="G93"/>
      <c r="H93">
        <f t="shared" si="23"/>
        <v>2031</v>
      </c>
      <c r="I93"/>
      <c r="J93"/>
      <c r="M93" s="84"/>
      <c r="N93" s="84"/>
      <c r="O93" s="84"/>
      <c r="T93" s="29"/>
      <c r="AI93" s="6">
        <f>AH92</f>
        <v>6.9999999999999993E-2</v>
      </c>
      <c r="AJ93" s="6">
        <f t="shared" si="26"/>
        <v>0.13999999999999999</v>
      </c>
      <c r="AK93" s="6">
        <f t="shared" si="26"/>
        <v>0.21</v>
      </c>
      <c r="AL93" s="6">
        <f t="shared" si="26"/>
        <v>0.27999999999999997</v>
      </c>
      <c r="AO93" s="7">
        <f>ROW()</f>
        <v>93</v>
      </c>
    </row>
    <row r="94" spans="2:41" s="6" customFormat="1" ht="13.9" customHeight="1" x14ac:dyDescent="0.2">
      <c r="B94" s="6" t="s">
        <v>232</v>
      </c>
      <c r="G94"/>
      <c r="H94">
        <f t="shared" si="23"/>
        <v>2032</v>
      </c>
      <c r="I94"/>
      <c r="J94"/>
      <c r="M94" s="84"/>
      <c r="N94" s="84"/>
      <c r="O94" s="84"/>
      <c r="T94" s="29"/>
      <c r="AJ94" s="6">
        <f>AI93</f>
        <v>6.9999999999999993E-2</v>
      </c>
      <c r="AK94" s="6">
        <f t="shared" si="26"/>
        <v>0.13999999999999999</v>
      </c>
      <c r="AL94" s="6">
        <f t="shared" si="26"/>
        <v>0.21</v>
      </c>
      <c r="AO94" s="7">
        <f>ROW()</f>
        <v>94</v>
      </c>
    </row>
    <row r="95" spans="2:41" s="6" customFormat="1" ht="13.9" customHeight="1" x14ac:dyDescent="0.2">
      <c r="B95" s="6" t="s">
        <v>232</v>
      </c>
      <c r="G95"/>
      <c r="H95">
        <f t="shared" si="23"/>
        <v>2033</v>
      </c>
      <c r="I95"/>
      <c r="J95"/>
      <c r="M95" s="84"/>
      <c r="N95" s="84"/>
      <c r="O95" s="84"/>
      <c r="T95" s="29"/>
      <c r="AK95" s="6">
        <f>AJ94</f>
        <v>6.9999999999999993E-2</v>
      </c>
      <c r="AL95" s="6">
        <f>AK94</f>
        <v>0.13999999999999999</v>
      </c>
      <c r="AO95" s="7">
        <f>ROW()</f>
        <v>95</v>
      </c>
    </row>
    <row r="96" spans="2:41" s="6" customFormat="1" ht="13.9" customHeight="1" x14ac:dyDescent="0.2">
      <c r="B96" s="6" t="s">
        <v>232</v>
      </c>
      <c r="G96"/>
      <c r="H96">
        <f t="shared" si="23"/>
        <v>2034</v>
      </c>
      <c r="I96"/>
      <c r="J96"/>
      <c r="M96" s="84"/>
      <c r="N96" s="84"/>
      <c r="O96" s="84"/>
      <c r="T96" s="29"/>
      <c r="AL96" s="6">
        <f>AK95</f>
        <v>6.9999999999999993E-2</v>
      </c>
      <c r="AO96" s="7">
        <f>ROW()</f>
        <v>96</v>
      </c>
    </row>
    <row r="97" spans="2:41" s="6" customFormat="1" ht="13.9" customHeight="1" x14ac:dyDescent="0.2">
      <c r="K97"/>
      <c r="L97"/>
      <c r="M97" s="84"/>
      <c r="N97" s="84"/>
      <c r="O97" s="84"/>
      <c r="AO97" s="7">
        <f>ROW()</f>
        <v>97</v>
      </c>
    </row>
    <row r="98" spans="2:41" s="16" customFormat="1" ht="13.9" customHeight="1" x14ac:dyDescent="0.2">
      <c r="B98" s="16" t="s">
        <v>196</v>
      </c>
      <c r="H98">
        <f t="shared" ref="H98:H110" si="27">H74</f>
        <v>2012</v>
      </c>
      <c r="I98"/>
      <c r="J98"/>
      <c r="K98"/>
      <c r="L98"/>
      <c r="M98" s="84"/>
      <c r="N98" s="84"/>
      <c r="O98" s="84"/>
      <c r="P98" s="16">
        <f t="shared" ref="P98:AL98" si="28">(1+$P$66)^(-P74)</f>
        <v>0.9957667637323957</v>
      </c>
      <c r="Q98" s="16">
        <f t="shared" si="28"/>
        <v>0.99155144775408877</v>
      </c>
      <c r="R98" s="16">
        <f t="shared" si="28"/>
        <v>0.98735397620426046</v>
      </c>
      <c r="S98" s="16">
        <f t="shared" si="28"/>
        <v>0.98317427354322917</v>
      </c>
      <c r="T98" s="16">
        <f t="shared" si="28"/>
        <v>0.97901226455109036</v>
      </c>
      <c r="U98" s="16">
        <f t="shared" si="28"/>
        <v>0.97486787432636324</v>
      </c>
      <c r="V98" s="16">
        <f t="shared" si="28"/>
        <v>0.97074102828464248</v>
      </c>
      <c r="W98" s="16">
        <f t="shared" si="28"/>
        <v>0.96663165215725655</v>
      </c>
      <c r="X98" s="16">
        <f t="shared" si="28"/>
        <v>0.96253967198993007</v>
      </c>
      <c r="Y98" s="16">
        <f t="shared" si="28"/>
        <v>0.95846501414145435</v>
      </c>
      <c r="Z98" s="16">
        <f t="shared" si="28"/>
        <v>0.95846501414145435</v>
      </c>
      <c r="AA98" s="16">
        <f t="shared" si="28"/>
        <v>0.95846501414145435</v>
      </c>
      <c r="AB98" s="16">
        <f t="shared" si="28"/>
        <v>0.95846501414145435</v>
      </c>
      <c r="AC98" s="16">
        <f t="shared" si="28"/>
        <v>0.95846501414145435</v>
      </c>
      <c r="AD98" s="16">
        <f t="shared" si="28"/>
        <v>0.95846501414145435</v>
      </c>
      <c r="AE98" s="16">
        <f t="shared" si="28"/>
        <v>0.95846501414145435</v>
      </c>
      <c r="AF98" s="16">
        <f t="shared" si="28"/>
        <v>0.95846501414145435</v>
      </c>
      <c r="AG98" s="16">
        <f t="shared" si="28"/>
        <v>0.95846501414145435</v>
      </c>
      <c r="AH98" s="16">
        <f t="shared" si="28"/>
        <v>0.95846501414145435</v>
      </c>
      <c r="AI98" s="16">
        <f t="shared" si="28"/>
        <v>0.95846501414145435</v>
      </c>
      <c r="AJ98" s="16">
        <f t="shared" si="28"/>
        <v>0.95846501414145435</v>
      </c>
      <c r="AK98" s="16">
        <f t="shared" si="28"/>
        <v>0.95846501414145435</v>
      </c>
      <c r="AL98" s="16">
        <f t="shared" si="28"/>
        <v>0.95846501414145435</v>
      </c>
      <c r="AO98" s="7">
        <f>ROW()</f>
        <v>98</v>
      </c>
    </row>
    <row r="99" spans="2:41" ht="13.9" customHeight="1" x14ac:dyDescent="0.2">
      <c r="B99" s="16" t="s">
        <v>196</v>
      </c>
      <c r="C99" s="16"/>
      <c r="H99">
        <f t="shared" si="27"/>
        <v>2013</v>
      </c>
      <c r="M99" s="84"/>
      <c r="P99" s="16">
        <f>(1+$P$66)^(-P75)</f>
        <v>1</v>
      </c>
      <c r="Q99" s="16">
        <f>(1+$Q$66)^(-Q75)</f>
        <v>0.9996377444608624</v>
      </c>
      <c r="R99" s="16">
        <f>(1+$Q$66)^(-R75)</f>
        <v>0.99927562015080018</v>
      </c>
      <c r="S99" s="16">
        <f>(1+$Q$66)^(-S75)</f>
        <v>0.99891362702227537</v>
      </c>
      <c r="T99" s="16">
        <f>(1+$Q$66)^(-T75)</f>
        <v>0.99855176502776644</v>
      </c>
      <c r="U99" s="16">
        <f>(1+$Q$66)^(-U75)</f>
        <v>0.99819003411976925</v>
      </c>
      <c r="V99" s="16">
        <f t="shared" ref="V99:AL99" si="29">(1+$Q$66)^(-V75)</f>
        <v>0.99782843425079726</v>
      </c>
      <c r="W99" s="16">
        <f t="shared" si="29"/>
        <v>0.99746696537338086</v>
      </c>
      <c r="X99" s="16">
        <f t="shared" si="29"/>
        <v>0.99710562744006759</v>
      </c>
      <c r="Y99" s="16">
        <f t="shared" si="29"/>
        <v>0.99674442040342204</v>
      </c>
      <c r="Z99" s="16">
        <f t="shared" si="29"/>
        <v>0.99638334421602626</v>
      </c>
      <c r="AA99" s="16">
        <f t="shared" si="29"/>
        <v>0.99638334421602626</v>
      </c>
      <c r="AB99" s="16">
        <f t="shared" si="29"/>
        <v>0.99638334421602626</v>
      </c>
      <c r="AC99" s="16">
        <f t="shared" si="29"/>
        <v>0.99638334421602626</v>
      </c>
      <c r="AD99" s="16">
        <f t="shared" si="29"/>
        <v>0.99638334421602626</v>
      </c>
      <c r="AE99" s="16">
        <f t="shared" si="29"/>
        <v>0.99638334421602626</v>
      </c>
      <c r="AF99" s="16">
        <f t="shared" si="29"/>
        <v>0.99638334421602626</v>
      </c>
      <c r="AG99" s="16">
        <f t="shared" si="29"/>
        <v>0.99638334421602626</v>
      </c>
      <c r="AH99" s="16">
        <f t="shared" si="29"/>
        <v>0.99638334421602626</v>
      </c>
      <c r="AI99" s="16">
        <f t="shared" si="29"/>
        <v>0.99638334421602626</v>
      </c>
      <c r="AJ99" s="16">
        <f t="shared" si="29"/>
        <v>0.99638334421602626</v>
      </c>
      <c r="AK99" s="16">
        <f t="shared" si="29"/>
        <v>0.99638334421602626</v>
      </c>
      <c r="AL99" s="16">
        <f t="shared" si="29"/>
        <v>0.99638334421602626</v>
      </c>
      <c r="AO99" s="7">
        <f>ROW()</f>
        <v>99</v>
      </c>
    </row>
    <row r="100" spans="2:41" ht="13.9" customHeight="1" x14ac:dyDescent="0.2">
      <c r="B100" s="16" t="s">
        <v>196</v>
      </c>
      <c r="C100" s="16"/>
      <c r="H100">
        <f t="shared" si="27"/>
        <v>2014</v>
      </c>
      <c r="K100" s="3"/>
      <c r="L100" s="3"/>
      <c r="M100" s="129"/>
      <c r="N100" s="129"/>
      <c r="O100" s="129"/>
      <c r="P100" s="16">
        <f t="shared" ref="P100:P120" si="30">(1+$P$66)^(-P76)</f>
        <v>1</v>
      </c>
      <c r="Q100" s="16">
        <f t="shared" ref="Q100:R120" si="31">(1+$Q$66)^(-Q76)</f>
        <v>1</v>
      </c>
      <c r="R100" s="17">
        <f t="shared" ref="R100:AL100" si="32">(1+$R$66)^(-R76)</f>
        <v>0.9996093911035846</v>
      </c>
      <c r="S100" s="17">
        <f t="shared" si="32"/>
        <v>0.99921893478247936</v>
      </c>
      <c r="T100" s="17">
        <f t="shared" si="32"/>
        <v>0.99882863097708652</v>
      </c>
      <c r="U100" s="17">
        <f t="shared" si="32"/>
        <v>0.9984384796278325</v>
      </c>
      <c r="V100" s="17">
        <f t="shared" si="32"/>
        <v>0.99804848067516649</v>
      </c>
      <c r="W100" s="17">
        <f t="shared" si="32"/>
        <v>0.9976586340595609</v>
      </c>
      <c r="X100" s="17">
        <f t="shared" si="32"/>
        <v>0.99726893972151187</v>
      </c>
      <c r="Y100" s="17">
        <f t="shared" si="32"/>
        <v>0.99687939760153765</v>
      </c>
      <c r="Z100" s="17">
        <f t="shared" si="32"/>
        <v>0.99649000764018136</v>
      </c>
      <c r="AA100" s="17">
        <f t="shared" si="32"/>
        <v>0.99610076977800832</v>
      </c>
      <c r="AB100" s="17">
        <f t="shared" si="32"/>
        <v>0.99610076977800832</v>
      </c>
      <c r="AC100" s="17">
        <f t="shared" si="32"/>
        <v>0.99610076977800832</v>
      </c>
      <c r="AD100" s="17">
        <f t="shared" si="32"/>
        <v>0.99610076977800832</v>
      </c>
      <c r="AE100" s="17">
        <f t="shared" si="32"/>
        <v>0.99610076977800832</v>
      </c>
      <c r="AF100" s="17">
        <f t="shared" si="32"/>
        <v>0.99610076977800832</v>
      </c>
      <c r="AG100" s="17">
        <f t="shared" si="32"/>
        <v>0.99610076977800832</v>
      </c>
      <c r="AH100" s="17">
        <f t="shared" si="32"/>
        <v>0.99610076977800832</v>
      </c>
      <c r="AI100" s="17">
        <f t="shared" si="32"/>
        <v>0.99610076977800832</v>
      </c>
      <c r="AJ100" s="17">
        <f t="shared" si="32"/>
        <v>0.99610076977800832</v>
      </c>
      <c r="AK100" s="17">
        <f t="shared" si="32"/>
        <v>0.99610076977800832</v>
      </c>
      <c r="AL100" s="17">
        <f t="shared" si="32"/>
        <v>0.99610076977800832</v>
      </c>
      <c r="AM100" s="17"/>
      <c r="AO100" s="7">
        <f>ROW()</f>
        <v>100</v>
      </c>
    </row>
    <row r="101" spans="2:41" ht="13.9" customHeight="1" x14ac:dyDescent="0.2">
      <c r="B101" s="16" t="s">
        <v>196</v>
      </c>
      <c r="C101" s="16"/>
      <c r="H101">
        <f t="shared" si="27"/>
        <v>2015</v>
      </c>
      <c r="K101" s="3"/>
      <c r="L101" s="3"/>
      <c r="M101" s="129"/>
      <c r="N101" s="129"/>
      <c r="O101" s="129"/>
      <c r="P101" s="16">
        <f t="shared" si="30"/>
        <v>1</v>
      </c>
      <c r="Q101" s="16">
        <f t="shared" si="31"/>
        <v>1</v>
      </c>
      <c r="R101" s="17">
        <f t="shared" ref="R101:R120" si="33">(1+$R$66)^(-R77)</f>
        <v>1</v>
      </c>
      <c r="S101" s="17">
        <f>(1+$S$66)^(-S77)</f>
        <v>0.99957929240538801</v>
      </c>
      <c r="T101" s="17">
        <f>(1+$S$66)^(-T77)</f>
        <v>0.9991587618056561</v>
      </c>
      <c r="U101" s="17">
        <f t="shared" ref="U101:AL101" si="34">(1+$S$66)^(-U77)</f>
        <v>0.99873840812634107</v>
      </c>
      <c r="V101" s="17">
        <f t="shared" si="34"/>
        <v>0.99831823129301167</v>
      </c>
      <c r="W101" s="17">
        <f t="shared" si="34"/>
        <v>0.99789823123126709</v>
      </c>
      <c r="X101" s="17">
        <f t="shared" si="34"/>
        <v>0.99747840786673792</v>
      </c>
      <c r="Y101" s="17">
        <f t="shared" si="34"/>
        <v>0.99705876112508696</v>
      </c>
      <c r="Z101" s="17">
        <f t="shared" si="34"/>
        <v>0.99663929093200698</v>
      </c>
      <c r="AA101" s="17">
        <f t="shared" si="34"/>
        <v>0.99621999721322307</v>
      </c>
      <c r="AB101" s="17">
        <f t="shared" si="34"/>
        <v>0.99580087989449118</v>
      </c>
      <c r="AC101" s="17">
        <f t="shared" si="34"/>
        <v>0.99580087989449118</v>
      </c>
      <c r="AD101" s="17">
        <f t="shared" si="34"/>
        <v>0.99580087989449118</v>
      </c>
      <c r="AE101" s="17">
        <f t="shared" si="34"/>
        <v>0.99580087989449118</v>
      </c>
      <c r="AF101" s="17">
        <f t="shared" si="34"/>
        <v>0.99580087989449118</v>
      </c>
      <c r="AG101" s="17">
        <f t="shared" si="34"/>
        <v>0.99580087989449118</v>
      </c>
      <c r="AH101" s="17">
        <f t="shared" si="34"/>
        <v>0.99580087989449118</v>
      </c>
      <c r="AI101" s="17">
        <f t="shared" si="34"/>
        <v>0.99580087989449118</v>
      </c>
      <c r="AJ101" s="17">
        <f t="shared" si="34"/>
        <v>0.99580087989449118</v>
      </c>
      <c r="AK101" s="17">
        <f t="shared" si="34"/>
        <v>0.99580087989449118</v>
      </c>
      <c r="AL101" s="17">
        <f t="shared" si="34"/>
        <v>0.99580087989449118</v>
      </c>
      <c r="AO101" s="7">
        <f>ROW()</f>
        <v>101</v>
      </c>
    </row>
    <row r="102" spans="2:41" ht="13.9" customHeight="1" x14ac:dyDescent="0.2">
      <c r="B102" s="16" t="s">
        <v>196</v>
      </c>
      <c r="C102" s="16"/>
      <c r="H102">
        <f t="shared" si="27"/>
        <v>2016</v>
      </c>
      <c r="K102" s="3"/>
      <c r="L102" s="3"/>
      <c r="M102" s="129"/>
      <c r="N102" s="129"/>
      <c r="O102" s="129"/>
      <c r="P102" s="16">
        <f t="shared" si="30"/>
        <v>1</v>
      </c>
      <c r="Q102" s="16">
        <f t="shared" si="31"/>
        <v>1</v>
      </c>
      <c r="R102" s="17">
        <f t="shared" si="33"/>
        <v>1</v>
      </c>
      <c r="S102" s="17">
        <f t="shared" ref="S102:S120" si="35">(1+$S$66)^(-S78)</f>
        <v>1</v>
      </c>
      <c r="T102" s="17">
        <f>(1+$T$66)^(-T78)</f>
        <v>0.99954742912595917</v>
      </c>
      <c r="U102" s="17">
        <f t="shared" ref="U102:AL102" si="36">(1+$T$66)^(-U78)</f>
        <v>0.99909506307231455</v>
      </c>
      <c r="V102" s="17">
        <f t="shared" si="36"/>
        <v>0.99864290174636994</v>
      </c>
      <c r="W102" s="17">
        <f t="shared" si="36"/>
        <v>0.99819094505547212</v>
      </c>
      <c r="X102" s="17">
        <f t="shared" si="36"/>
        <v>0.99773919290700863</v>
      </c>
      <c r="Y102" s="17">
        <f t="shared" si="36"/>
        <v>0.99728764520841007</v>
      </c>
      <c r="Z102" s="17">
        <f t="shared" si="36"/>
        <v>0.99683630186714811</v>
      </c>
      <c r="AA102" s="17">
        <f t="shared" si="36"/>
        <v>0.99638516279073652</v>
      </c>
      <c r="AB102" s="17">
        <f t="shared" si="36"/>
        <v>0.99593422788673092</v>
      </c>
      <c r="AC102" s="17">
        <f t="shared" si="36"/>
        <v>0.99548349706272921</v>
      </c>
      <c r="AD102" s="17">
        <f t="shared" si="36"/>
        <v>0.99548349706272921</v>
      </c>
      <c r="AE102" s="17">
        <f t="shared" si="36"/>
        <v>0.99548349706272921</v>
      </c>
      <c r="AF102" s="17">
        <f t="shared" si="36"/>
        <v>0.99548349706272921</v>
      </c>
      <c r="AG102" s="17">
        <f t="shared" si="36"/>
        <v>0.99548349706272921</v>
      </c>
      <c r="AH102" s="17">
        <f t="shared" si="36"/>
        <v>0.99548349706272921</v>
      </c>
      <c r="AI102" s="17">
        <f t="shared" si="36"/>
        <v>0.99548349706272921</v>
      </c>
      <c r="AJ102" s="17">
        <f t="shared" si="36"/>
        <v>0.99548349706272921</v>
      </c>
      <c r="AK102" s="17">
        <f t="shared" si="36"/>
        <v>0.99548349706272921</v>
      </c>
      <c r="AL102" s="17">
        <f t="shared" si="36"/>
        <v>0.99548349706272921</v>
      </c>
      <c r="AO102" s="7">
        <f>ROW()</f>
        <v>102</v>
      </c>
    </row>
    <row r="103" spans="2:41" ht="13.9" customHeight="1" x14ac:dyDescent="0.2">
      <c r="B103" s="16" t="s">
        <v>196</v>
      </c>
      <c r="C103" s="16"/>
      <c r="H103">
        <f t="shared" si="27"/>
        <v>2017</v>
      </c>
      <c r="K103" s="3"/>
      <c r="L103" s="3"/>
      <c r="M103" s="129"/>
      <c r="N103" s="129"/>
      <c r="O103" s="129"/>
      <c r="P103" s="16">
        <f t="shared" si="30"/>
        <v>1</v>
      </c>
      <c r="Q103" s="16">
        <f t="shared" si="31"/>
        <v>1</v>
      </c>
      <c r="R103" s="17">
        <f t="shared" si="33"/>
        <v>1</v>
      </c>
      <c r="S103" s="17">
        <f t="shared" si="35"/>
        <v>1</v>
      </c>
      <c r="T103" s="17">
        <f t="shared" ref="T103:T120" si="37">(1+$T$66)^(-T79)</f>
        <v>1</v>
      </c>
      <c r="U103" s="17">
        <f>(1+$U$66)^(-U79)</f>
        <v>0.99951380088327879</v>
      </c>
      <c r="V103" s="17">
        <f t="shared" ref="V103:AL103" si="38">(1+$U$66)^(-V79)</f>
        <v>0.99902783815613894</v>
      </c>
      <c r="W103" s="17">
        <f t="shared" si="38"/>
        <v>0.99854211170364759</v>
      </c>
      <c r="X103" s="17">
        <f t="shared" si="38"/>
        <v>0.99805662141092855</v>
      </c>
      <c r="Y103" s="17">
        <f t="shared" si="38"/>
        <v>0.99757136716316086</v>
      </c>
      <c r="Z103" s="17">
        <f t="shared" si="38"/>
        <v>0.99708634884557978</v>
      </c>
      <c r="AA103" s="17">
        <f t="shared" si="38"/>
        <v>0.99660156634347641</v>
      </c>
      <c r="AB103" s="17">
        <f t="shared" si="38"/>
        <v>0.99611701954219734</v>
      </c>
      <c r="AC103" s="17">
        <f t="shared" si="38"/>
        <v>0.99563270832714512</v>
      </c>
      <c r="AD103" s="17">
        <f t="shared" si="38"/>
        <v>0.99514863258377795</v>
      </c>
      <c r="AE103" s="17">
        <f t="shared" si="38"/>
        <v>0.99514863258377795</v>
      </c>
      <c r="AF103" s="17">
        <f t="shared" si="38"/>
        <v>0.99514863258377795</v>
      </c>
      <c r="AG103" s="17">
        <f t="shared" si="38"/>
        <v>0.99514863258377795</v>
      </c>
      <c r="AH103" s="17">
        <f t="shared" si="38"/>
        <v>0.99514863258377795</v>
      </c>
      <c r="AI103" s="17">
        <f t="shared" si="38"/>
        <v>0.99514863258377795</v>
      </c>
      <c r="AJ103" s="17">
        <f t="shared" si="38"/>
        <v>0.99514863258377795</v>
      </c>
      <c r="AK103" s="17">
        <f t="shared" si="38"/>
        <v>0.99514863258377795</v>
      </c>
      <c r="AL103" s="17">
        <f t="shared" si="38"/>
        <v>0.99514863258377795</v>
      </c>
      <c r="AO103" s="7">
        <f>ROW()</f>
        <v>103</v>
      </c>
    </row>
    <row r="104" spans="2:41" ht="13.9" customHeight="1" x14ac:dyDescent="0.2">
      <c r="B104" s="16" t="s">
        <v>196</v>
      </c>
      <c r="C104" s="16"/>
      <c r="H104">
        <f t="shared" si="27"/>
        <v>2018</v>
      </c>
      <c r="K104" s="3"/>
      <c r="L104" s="3"/>
      <c r="M104" s="129"/>
      <c r="N104" s="129"/>
      <c r="O104" s="129"/>
      <c r="P104" s="16">
        <f t="shared" si="30"/>
        <v>1</v>
      </c>
      <c r="Q104" s="16">
        <f t="shared" si="31"/>
        <v>1</v>
      </c>
      <c r="R104" s="17">
        <f t="shared" si="33"/>
        <v>1</v>
      </c>
      <c r="S104" s="17">
        <f t="shared" si="35"/>
        <v>1</v>
      </c>
      <c r="T104" s="17">
        <f t="shared" si="37"/>
        <v>1</v>
      </c>
      <c r="U104" s="17">
        <f t="shared" ref="U104:U120" si="39">(1+$U$66)^(-U80)</f>
        <v>1</v>
      </c>
      <c r="V104" s="17">
        <f>(1+$V$66)^(-V80)</f>
        <v>0.9994784302219073</v>
      </c>
      <c r="W104" s="17">
        <f t="shared" ref="W104:AL104" si="40">(1+$V$66)^(-W80)</f>
        <v>0.9989571324788481</v>
      </c>
      <c r="X104" s="17">
        <f t="shared" si="40"/>
        <v>0.99843610662893723</v>
      </c>
      <c r="Y104" s="17">
        <f t="shared" si="40"/>
        <v>0.99791535253036301</v>
      </c>
      <c r="Z104" s="17">
        <f t="shared" si="40"/>
        <v>0.99739487004138849</v>
      </c>
      <c r="AA104" s="17">
        <f t="shared" si="40"/>
        <v>0.99687465902035022</v>
      </c>
      <c r="AB104" s="17">
        <f t="shared" si="40"/>
        <v>0.99635471932565889</v>
      </c>
      <c r="AC104" s="17">
        <f t="shared" si="40"/>
        <v>0.99583505081579859</v>
      </c>
      <c r="AD104" s="17">
        <f t="shared" si="40"/>
        <v>0.9953156533493277</v>
      </c>
      <c r="AE104" s="17">
        <f t="shared" si="40"/>
        <v>0.99479652678487829</v>
      </c>
      <c r="AF104" s="17">
        <f t="shared" si="40"/>
        <v>0.99479652678487829</v>
      </c>
      <c r="AG104" s="17">
        <f t="shared" si="40"/>
        <v>0.99479652678487829</v>
      </c>
      <c r="AH104" s="17">
        <f t="shared" si="40"/>
        <v>0.99479652678487829</v>
      </c>
      <c r="AI104" s="17">
        <f t="shared" si="40"/>
        <v>0.99479652678487829</v>
      </c>
      <c r="AJ104" s="17">
        <f t="shared" si="40"/>
        <v>0.99479652678487829</v>
      </c>
      <c r="AK104" s="17">
        <f t="shared" si="40"/>
        <v>0.99479652678487829</v>
      </c>
      <c r="AL104" s="17">
        <f t="shared" si="40"/>
        <v>0.99479652678487829</v>
      </c>
      <c r="AO104" s="7">
        <f>ROW()</f>
        <v>104</v>
      </c>
    </row>
    <row r="105" spans="2:41" ht="13.9" customHeight="1" x14ac:dyDescent="0.2">
      <c r="B105" s="16" t="s">
        <v>196</v>
      </c>
      <c r="C105" s="16"/>
      <c r="H105">
        <f t="shared" si="27"/>
        <v>2019</v>
      </c>
      <c r="K105" s="3"/>
      <c r="L105" s="3"/>
      <c r="M105" s="129"/>
      <c r="N105" s="129"/>
      <c r="O105" s="129"/>
      <c r="P105" s="16">
        <f t="shared" si="30"/>
        <v>1</v>
      </c>
      <c r="Q105" s="16">
        <f t="shared" si="31"/>
        <v>1</v>
      </c>
      <c r="R105" s="17">
        <f t="shared" si="33"/>
        <v>1</v>
      </c>
      <c r="S105" s="17">
        <f t="shared" si="35"/>
        <v>1</v>
      </c>
      <c r="T105" s="17">
        <f t="shared" si="37"/>
        <v>1</v>
      </c>
      <c r="U105" s="17">
        <f t="shared" si="39"/>
        <v>1</v>
      </c>
      <c r="V105" s="17">
        <f t="shared" ref="V105:V120" si="41">(1+$V$66)^(-V81)</f>
        <v>1</v>
      </c>
      <c r="W105" s="17">
        <f t="shared" ref="W105:W120" si="42">(1+$W$66)^(-W81)</f>
        <v>0.9994413671423158</v>
      </c>
      <c r="X105" s="17">
        <f t="shared" ref="X105:AL105" si="43">(1+$W$66)^(-X81)</f>
        <v>0.99888304635530134</v>
      </c>
      <c r="Y105" s="17">
        <f t="shared" si="43"/>
        <v>0.99832503746462375</v>
      </c>
      <c r="Z105" s="17">
        <f t="shared" si="43"/>
        <v>0.99776734029604719</v>
      </c>
      <c r="AA105" s="17">
        <f t="shared" si="43"/>
        <v>0.99720995467543361</v>
      </c>
      <c r="AB105" s="17">
        <f t="shared" si="43"/>
        <v>0.99665288042874212</v>
      </c>
      <c r="AC105" s="17">
        <f t="shared" si="43"/>
        <v>0.99609611738202908</v>
      </c>
      <c r="AD105" s="17">
        <f t="shared" si="43"/>
        <v>0.995539665361448</v>
      </c>
      <c r="AE105" s="17">
        <f t="shared" si="43"/>
        <v>0.9949835241932492</v>
      </c>
      <c r="AF105" s="17">
        <f t="shared" si="43"/>
        <v>0.99442769370378037</v>
      </c>
      <c r="AG105" s="17">
        <f t="shared" si="43"/>
        <v>0.99442769370378037</v>
      </c>
      <c r="AH105" s="17">
        <f t="shared" si="43"/>
        <v>0.99442769370378037</v>
      </c>
      <c r="AI105" s="17">
        <f t="shared" si="43"/>
        <v>0.99442769370378037</v>
      </c>
      <c r="AJ105" s="17">
        <f t="shared" si="43"/>
        <v>0.99442769370378037</v>
      </c>
      <c r="AK105" s="17">
        <f t="shared" si="43"/>
        <v>0.99442769370378037</v>
      </c>
      <c r="AL105" s="17">
        <f t="shared" si="43"/>
        <v>0.99442769370378037</v>
      </c>
      <c r="AO105" s="7">
        <f>ROW()</f>
        <v>105</v>
      </c>
    </row>
    <row r="106" spans="2:41" ht="13.9" customHeight="1" x14ac:dyDescent="0.2">
      <c r="B106" s="16" t="s">
        <v>196</v>
      </c>
      <c r="C106" s="16"/>
      <c r="H106">
        <f t="shared" si="27"/>
        <v>2020</v>
      </c>
      <c r="M106" s="84"/>
      <c r="P106" s="16">
        <f t="shared" si="30"/>
        <v>1</v>
      </c>
      <c r="Q106" s="16">
        <f t="shared" si="31"/>
        <v>1</v>
      </c>
      <c r="R106" s="17">
        <f t="shared" si="33"/>
        <v>1</v>
      </c>
      <c r="S106" s="17">
        <f t="shared" si="35"/>
        <v>1</v>
      </c>
      <c r="T106" s="17">
        <f t="shared" si="37"/>
        <v>1</v>
      </c>
      <c r="U106" s="17">
        <f t="shared" si="39"/>
        <v>1</v>
      </c>
      <c r="V106" s="17">
        <f t="shared" si="41"/>
        <v>1</v>
      </c>
      <c r="W106" s="17">
        <f t="shared" si="42"/>
        <v>1</v>
      </c>
      <c r="X106" s="17">
        <f>(1+$X$66)^(-X82)</f>
        <v>0.99940269408601123</v>
      </c>
      <c r="Y106" s="17">
        <f t="shared" ref="Y106:AL106" si="44">(1+$X$66)^(-Y82)</f>
        <v>0.99880574494637731</v>
      </c>
      <c r="Z106" s="17">
        <f t="shared" si="44"/>
        <v>0.9982091523679949</v>
      </c>
      <c r="AA106" s="17">
        <f t="shared" si="44"/>
        <v>0.99761291613788761</v>
      </c>
      <c r="AB106" s="17">
        <f t="shared" si="44"/>
        <v>0.99701703604320679</v>
      </c>
      <c r="AC106" s="17">
        <f t="shared" si="44"/>
        <v>0.99642151187123063</v>
      </c>
      <c r="AD106" s="17">
        <f t="shared" si="44"/>
        <v>0.99582634340936416</v>
      </c>
      <c r="AE106" s="17">
        <f t="shared" si="44"/>
        <v>0.9952315304451399</v>
      </c>
      <c r="AF106" s="17">
        <f t="shared" si="44"/>
        <v>0.99463707276621693</v>
      </c>
      <c r="AG106" s="17">
        <f t="shared" si="44"/>
        <v>0.99404297016038101</v>
      </c>
      <c r="AH106" s="17">
        <f t="shared" si="44"/>
        <v>0.99404297016038101</v>
      </c>
      <c r="AI106" s="17">
        <f t="shared" si="44"/>
        <v>0.99404297016038101</v>
      </c>
      <c r="AJ106" s="17">
        <f t="shared" si="44"/>
        <v>0.99404297016038101</v>
      </c>
      <c r="AK106" s="17">
        <f t="shared" si="44"/>
        <v>0.99404297016038101</v>
      </c>
      <c r="AL106" s="17">
        <f t="shared" si="44"/>
        <v>0.99404297016038101</v>
      </c>
      <c r="AO106" s="7">
        <f>ROW()</f>
        <v>106</v>
      </c>
    </row>
    <row r="107" spans="2:41" ht="13.9" customHeight="1" x14ac:dyDescent="0.2">
      <c r="B107" s="16" t="s">
        <v>196</v>
      </c>
      <c r="C107" s="16"/>
      <c r="H107">
        <f t="shared" si="27"/>
        <v>2021</v>
      </c>
      <c r="M107" s="84"/>
      <c r="P107" s="16">
        <f t="shared" si="30"/>
        <v>1</v>
      </c>
      <c r="Q107" s="16">
        <f t="shared" si="31"/>
        <v>1</v>
      </c>
      <c r="R107" s="16">
        <f t="shared" si="31"/>
        <v>1</v>
      </c>
      <c r="S107" s="17">
        <f t="shared" si="35"/>
        <v>1</v>
      </c>
      <c r="T107" s="17">
        <f t="shared" si="37"/>
        <v>1</v>
      </c>
      <c r="U107" s="17">
        <f t="shared" si="39"/>
        <v>1</v>
      </c>
      <c r="V107" s="17">
        <f t="shared" si="41"/>
        <v>1</v>
      </c>
      <c r="W107" s="17">
        <f t="shared" si="42"/>
        <v>1</v>
      </c>
      <c r="X107" s="17">
        <f>(1+$X$66)^(-X83)</f>
        <v>1</v>
      </c>
      <c r="Y107" s="17">
        <f>(1+$Y$66)^(-Y83)</f>
        <v>0.99936253135535624</v>
      </c>
      <c r="Z107" s="17">
        <f t="shared" ref="Z107:AL107" si="45">(1+$Y$66)^(-Z83)</f>
        <v>0.99872546907698545</v>
      </c>
      <c r="AA107" s="17">
        <f t="shared" si="45"/>
        <v>0.99808881290584184</v>
      </c>
      <c r="AB107" s="17">
        <f t="shared" si="45"/>
        <v>0.9974525625830446</v>
      </c>
      <c r="AC107" s="17">
        <f t="shared" si="45"/>
        <v>0.99681671784987846</v>
      </c>
      <c r="AD107" s="17">
        <f t="shared" si="45"/>
        <v>0.9961812784477927</v>
      </c>
      <c r="AE107" s="17">
        <f t="shared" si="45"/>
        <v>0.99554624411840109</v>
      </c>
      <c r="AF107" s="17">
        <f t="shared" si="45"/>
        <v>0.99491161460348265</v>
      </c>
      <c r="AG107" s="17">
        <f t="shared" si="45"/>
        <v>0.99427738964498125</v>
      </c>
      <c r="AH107" s="17">
        <f t="shared" si="45"/>
        <v>0.99364356898500439</v>
      </c>
      <c r="AI107" s="17">
        <f t="shared" si="45"/>
        <v>0.99364356898500439</v>
      </c>
      <c r="AJ107" s="17">
        <f t="shared" si="45"/>
        <v>0.99364356898500439</v>
      </c>
      <c r="AK107" s="17">
        <f t="shared" si="45"/>
        <v>0.99364356898500439</v>
      </c>
      <c r="AL107" s="17">
        <f t="shared" si="45"/>
        <v>0.99364356898500439</v>
      </c>
      <c r="AO107" s="7">
        <f>ROW()</f>
        <v>107</v>
      </c>
    </row>
    <row r="108" spans="2:41" ht="13.9" customHeight="1" x14ac:dyDescent="0.2">
      <c r="B108" s="16" t="s">
        <v>196</v>
      </c>
      <c r="C108" s="16"/>
      <c r="H108">
        <f t="shared" si="27"/>
        <v>2022</v>
      </c>
      <c r="M108" s="84"/>
      <c r="P108" s="16">
        <f t="shared" si="30"/>
        <v>1</v>
      </c>
      <c r="Q108" s="16">
        <f t="shared" si="31"/>
        <v>1</v>
      </c>
      <c r="R108" s="16">
        <f t="shared" si="31"/>
        <v>1</v>
      </c>
      <c r="S108" s="17">
        <f t="shared" si="35"/>
        <v>1</v>
      </c>
      <c r="T108" s="17">
        <f t="shared" si="37"/>
        <v>1</v>
      </c>
      <c r="U108" s="17">
        <f t="shared" si="39"/>
        <v>1</v>
      </c>
      <c r="V108" s="17">
        <f t="shared" si="41"/>
        <v>1</v>
      </c>
      <c r="W108" s="17">
        <f t="shared" si="42"/>
        <v>1</v>
      </c>
      <c r="X108" s="17">
        <f>(1+$X$66)^(-X84)</f>
        <v>1</v>
      </c>
      <c r="Y108" s="17">
        <f>(1+$Y$66)^(-Y84)</f>
        <v>1</v>
      </c>
      <c r="Z108" s="17">
        <f>(1+$Z$66)^(-Z84)</f>
        <v>0.9993210429279179</v>
      </c>
      <c r="AA108" s="17">
        <f t="shared" ref="AA108:AL108" si="46">(1+$Z$66)^(-AA84)</f>
        <v>0.99864254683854137</v>
      </c>
      <c r="AB108" s="17">
        <f t="shared" si="46"/>
        <v>0.99796451141888332</v>
      </c>
      <c r="AC108" s="17">
        <f t="shared" si="46"/>
        <v>0.99728693635616839</v>
      </c>
      <c r="AD108" s="17">
        <f t="shared" si="46"/>
        <v>0.99660982133783427</v>
      </c>
      <c r="AE108" s="17">
        <f t="shared" si="46"/>
        <v>0.99593316605153026</v>
      </c>
      <c r="AF108" s="17">
        <f t="shared" si="46"/>
        <v>0.99525697018511861</v>
      </c>
      <c r="AG108" s="17">
        <f t="shared" si="46"/>
        <v>0.99458123342667237</v>
      </c>
      <c r="AH108" s="17">
        <f t="shared" si="46"/>
        <v>0.99390595546447713</v>
      </c>
      <c r="AI108" s="17">
        <f t="shared" si="46"/>
        <v>0.99323113598702983</v>
      </c>
      <c r="AJ108" s="17">
        <f t="shared" si="46"/>
        <v>0.99323113598702983</v>
      </c>
      <c r="AK108" s="17">
        <f t="shared" si="46"/>
        <v>0.99323113598702983</v>
      </c>
      <c r="AL108" s="17">
        <f t="shared" si="46"/>
        <v>0.99323113598702983</v>
      </c>
      <c r="AO108" s="7">
        <f>ROW()</f>
        <v>108</v>
      </c>
    </row>
    <row r="109" spans="2:41" ht="13.9" customHeight="1" x14ac:dyDescent="0.2">
      <c r="B109" s="16" t="s">
        <v>196</v>
      </c>
      <c r="C109" s="16"/>
      <c r="H109">
        <f t="shared" si="27"/>
        <v>2023</v>
      </c>
      <c r="M109" s="84"/>
      <c r="P109" s="16">
        <f t="shared" si="30"/>
        <v>1</v>
      </c>
      <c r="Q109" s="16">
        <f t="shared" si="31"/>
        <v>1</v>
      </c>
      <c r="R109" s="17">
        <f t="shared" si="33"/>
        <v>1</v>
      </c>
      <c r="S109" s="17">
        <f t="shared" si="35"/>
        <v>1</v>
      </c>
      <c r="T109" s="17">
        <f t="shared" si="37"/>
        <v>1</v>
      </c>
      <c r="U109" s="17">
        <f t="shared" si="39"/>
        <v>1</v>
      </c>
      <c r="V109" s="17">
        <f t="shared" si="41"/>
        <v>1</v>
      </c>
      <c r="W109" s="17">
        <f t="shared" si="42"/>
        <v>1</v>
      </c>
      <c r="X109" s="17">
        <f>(1+$X$66)^(-X85)</f>
        <v>1</v>
      </c>
      <c r="Y109" s="17">
        <f>(1+$Y$66)^(-Y85)</f>
        <v>1</v>
      </c>
      <c r="Z109" s="17">
        <f>(1+$Z$66)^(-Z85)</f>
        <v>1</v>
      </c>
      <c r="AA109" s="17">
        <f>(1+$AA$66)^(-AA85)</f>
        <v>0.99927844260297916</v>
      </c>
      <c r="AB109" s="17">
        <f t="shared" ref="AB109:AL109" si="47">(1+$AA$66)^(-AB85)</f>
        <v>0.9985574058510357</v>
      </c>
      <c r="AC109" s="17">
        <f t="shared" si="47"/>
        <v>0.99783688936849413</v>
      </c>
      <c r="AD109" s="17">
        <f t="shared" si="47"/>
        <v>0.99711689277994986</v>
      </c>
      <c r="AE109" s="17">
        <f t="shared" si="47"/>
        <v>0.9963974157102703</v>
      </c>
      <c r="AF109" s="17">
        <f t="shared" si="47"/>
        <v>0.99567845778459207</v>
      </c>
      <c r="AG109" s="17">
        <f t="shared" si="47"/>
        <v>0.99496001862832351</v>
      </c>
      <c r="AH109" s="17">
        <f t="shared" si="47"/>
        <v>0.99424209786714213</v>
      </c>
      <c r="AI109" s="17">
        <f t="shared" si="47"/>
        <v>0.9935246951269967</v>
      </c>
      <c r="AJ109" s="17">
        <f t="shared" si="47"/>
        <v>0.99280781003410512</v>
      </c>
      <c r="AK109" s="17">
        <f t="shared" si="47"/>
        <v>0.99280781003410512</v>
      </c>
      <c r="AL109" s="17">
        <f t="shared" si="47"/>
        <v>0.99280781003410512</v>
      </c>
      <c r="AO109" s="7">
        <f>ROW()</f>
        <v>109</v>
      </c>
    </row>
    <row r="110" spans="2:41" ht="13.9" customHeight="1" x14ac:dyDescent="0.2">
      <c r="B110" s="16" t="s">
        <v>196</v>
      </c>
      <c r="C110" s="16"/>
      <c r="H110">
        <f t="shared" si="27"/>
        <v>2024</v>
      </c>
      <c r="M110" s="84"/>
      <c r="P110" s="16">
        <f t="shared" si="30"/>
        <v>1</v>
      </c>
      <c r="Q110" s="16">
        <f t="shared" si="31"/>
        <v>1</v>
      </c>
      <c r="R110" s="17">
        <f t="shared" si="33"/>
        <v>1</v>
      </c>
      <c r="S110" s="17">
        <f t="shared" si="35"/>
        <v>1</v>
      </c>
      <c r="T110" s="17">
        <f t="shared" si="37"/>
        <v>1</v>
      </c>
      <c r="U110" s="17">
        <f t="shared" si="39"/>
        <v>1</v>
      </c>
      <c r="V110" s="17">
        <f t="shared" si="41"/>
        <v>1</v>
      </c>
      <c r="W110" s="17">
        <f t="shared" si="42"/>
        <v>1</v>
      </c>
      <c r="X110" s="17">
        <f>(1+$X$66)^(-X86)</f>
        <v>1</v>
      </c>
      <c r="Y110" s="17">
        <f>(1+$Y$66)^(-Y86)</f>
        <v>1</v>
      </c>
      <c r="Z110" s="17">
        <f>(1+$Z$66)^(-Z86)</f>
        <v>1</v>
      </c>
      <c r="AA110" s="17">
        <f>(1+$AA$66)^(-AA86)</f>
        <v>1</v>
      </c>
      <c r="AB110" s="17">
        <f t="shared" ref="AB110:AB118" si="48">(1+$AB$66)^(-AB86)</f>
        <v>0.99923500039285718</v>
      </c>
      <c r="AC110" s="17">
        <f t="shared" ref="AC110:AL110" si="49">(1+$AB$66)^(-AC86)</f>
        <v>0.99847058601011351</v>
      </c>
      <c r="AD110" s="17">
        <f t="shared" si="49"/>
        <v>0.99770675640407225</v>
      </c>
      <c r="AE110" s="17">
        <f t="shared" si="49"/>
        <v>0.99694351112737933</v>
      </c>
      <c r="AF110" s="17">
        <f t="shared" si="49"/>
        <v>0.99618084973302357</v>
      </c>
      <c r="AG110" s="17">
        <f t="shared" si="49"/>
        <v>0.99541877177433458</v>
      </c>
      <c r="AH110" s="17">
        <f t="shared" si="49"/>
        <v>0.99465727680498472</v>
      </c>
      <c r="AI110" s="17">
        <f t="shared" si="49"/>
        <v>0.99389636437898732</v>
      </c>
      <c r="AJ110" s="17">
        <f t="shared" si="49"/>
        <v>0.99313603405069684</v>
      </c>
      <c r="AK110" s="17">
        <f t="shared" si="49"/>
        <v>0.99237628537480882</v>
      </c>
      <c r="AL110" s="17">
        <f t="shared" si="49"/>
        <v>0.99237628537480882</v>
      </c>
      <c r="AO110" s="7">
        <f>ROW()</f>
        <v>110</v>
      </c>
    </row>
    <row r="111" spans="2:41" ht="13.9" customHeight="1" x14ac:dyDescent="0.2">
      <c r="B111" s="16" t="s">
        <v>196</v>
      </c>
      <c r="C111" s="16"/>
      <c r="H111">
        <f t="shared" ref="H111:H120" si="50">H87</f>
        <v>2025</v>
      </c>
      <c r="M111" s="84"/>
      <c r="P111" s="16">
        <f t="shared" si="30"/>
        <v>1</v>
      </c>
      <c r="Q111" s="16">
        <f t="shared" si="31"/>
        <v>1</v>
      </c>
      <c r="R111" s="17">
        <f t="shared" si="33"/>
        <v>1</v>
      </c>
      <c r="S111" s="17">
        <f t="shared" si="35"/>
        <v>1</v>
      </c>
      <c r="T111" s="17">
        <f t="shared" si="37"/>
        <v>1</v>
      </c>
      <c r="U111" s="17">
        <f t="shared" si="39"/>
        <v>1</v>
      </c>
      <c r="V111" s="17">
        <f t="shared" si="41"/>
        <v>1</v>
      </c>
      <c r="W111" s="17">
        <f t="shared" si="42"/>
        <v>1</v>
      </c>
      <c r="X111" s="17">
        <f t="shared" ref="X111:X120" si="51">(1+$X$66)^(-X87)</f>
        <v>1</v>
      </c>
      <c r="Y111" s="17">
        <f t="shared" ref="Y111:Y120" si="52">(1+$Y$66)^(-Y87)</f>
        <v>1</v>
      </c>
      <c r="Z111" s="17">
        <f t="shared" ref="Z111:Z120" si="53">(1+$Z$66)^(-Z87)</f>
        <v>1</v>
      </c>
      <c r="AA111" s="17">
        <f t="shared" ref="AA111:AA120" si="54">(1+$AA$66)^(-AA87)</f>
        <v>1</v>
      </c>
      <c r="AB111" s="17">
        <f t="shared" si="48"/>
        <v>1</v>
      </c>
      <c r="AC111" s="17">
        <f t="shared" ref="AC111:AL111" si="55">(1+$AB$66)^(-AC87)</f>
        <v>0.99923500039285718</v>
      </c>
      <c r="AD111" s="17">
        <f t="shared" si="55"/>
        <v>0.99847058601011351</v>
      </c>
      <c r="AE111" s="17">
        <f t="shared" si="55"/>
        <v>0.99770675640407225</v>
      </c>
      <c r="AF111" s="17">
        <f t="shared" si="55"/>
        <v>0.99694351112737933</v>
      </c>
      <c r="AG111" s="17">
        <f t="shared" si="55"/>
        <v>0.99618084973302357</v>
      </c>
      <c r="AH111" s="17">
        <f t="shared" si="55"/>
        <v>0.99541877177433458</v>
      </c>
      <c r="AI111" s="17">
        <f t="shared" si="55"/>
        <v>0.99465727680498472</v>
      </c>
      <c r="AJ111" s="17">
        <f t="shared" si="55"/>
        <v>0.99389636437898732</v>
      </c>
      <c r="AK111" s="17">
        <f t="shared" si="55"/>
        <v>0.99313603405069684</v>
      </c>
      <c r="AL111" s="17">
        <f t="shared" si="55"/>
        <v>0.99237628537480882</v>
      </c>
      <c r="AO111" s="7">
        <f>ROW()</f>
        <v>111</v>
      </c>
    </row>
    <row r="112" spans="2:41" ht="13.9" customHeight="1" x14ac:dyDescent="0.2">
      <c r="B112" s="16" t="s">
        <v>196</v>
      </c>
      <c r="C112" s="16"/>
      <c r="H112">
        <f t="shared" si="50"/>
        <v>2026</v>
      </c>
      <c r="M112" s="84"/>
      <c r="P112" s="16">
        <f t="shared" si="30"/>
        <v>1</v>
      </c>
      <c r="Q112" s="16">
        <f t="shared" si="31"/>
        <v>1</v>
      </c>
      <c r="R112" s="17">
        <f t="shared" si="33"/>
        <v>1</v>
      </c>
      <c r="S112" s="17">
        <f t="shared" si="35"/>
        <v>1</v>
      </c>
      <c r="T112" s="17">
        <f t="shared" si="37"/>
        <v>1</v>
      </c>
      <c r="U112" s="17">
        <f t="shared" si="39"/>
        <v>1</v>
      </c>
      <c r="V112" s="17">
        <f t="shared" si="41"/>
        <v>1</v>
      </c>
      <c r="W112" s="17">
        <f t="shared" si="42"/>
        <v>1</v>
      </c>
      <c r="X112" s="17">
        <f t="shared" si="51"/>
        <v>1</v>
      </c>
      <c r="Y112" s="17">
        <f t="shared" si="52"/>
        <v>1</v>
      </c>
      <c r="Z112" s="17">
        <f t="shared" si="53"/>
        <v>1</v>
      </c>
      <c r="AA112" s="17">
        <f t="shared" si="54"/>
        <v>1</v>
      </c>
      <c r="AB112" s="17">
        <f t="shared" si="48"/>
        <v>1</v>
      </c>
      <c r="AC112" s="17">
        <f t="shared" ref="AC112:AL112" si="56">(1+$AB$66)^(-AC88)</f>
        <v>1</v>
      </c>
      <c r="AD112" s="17">
        <f t="shared" si="56"/>
        <v>0.99923500039285718</v>
      </c>
      <c r="AE112" s="17">
        <f t="shared" si="56"/>
        <v>0.99847058601011351</v>
      </c>
      <c r="AF112" s="17">
        <f t="shared" si="56"/>
        <v>0.99770675640407225</v>
      </c>
      <c r="AG112" s="17">
        <f t="shared" si="56"/>
        <v>0.99694351112737933</v>
      </c>
      <c r="AH112" s="17">
        <f t="shared" si="56"/>
        <v>0.99618084973302357</v>
      </c>
      <c r="AI112" s="17">
        <f t="shared" si="56"/>
        <v>0.99541877177433458</v>
      </c>
      <c r="AJ112" s="17">
        <f t="shared" si="56"/>
        <v>0.99465727680498472</v>
      </c>
      <c r="AK112" s="17">
        <f t="shared" si="56"/>
        <v>0.99389636437898732</v>
      </c>
      <c r="AL112" s="17">
        <f t="shared" si="56"/>
        <v>0.99313603405069684</v>
      </c>
      <c r="AO112" s="7">
        <f>ROW()</f>
        <v>112</v>
      </c>
    </row>
    <row r="113" spans="2:41" ht="13.9" customHeight="1" x14ac:dyDescent="0.2">
      <c r="B113" s="16" t="s">
        <v>196</v>
      </c>
      <c r="C113" s="16"/>
      <c r="H113">
        <f t="shared" si="50"/>
        <v>2027</v>
      </c>
      <c r="M113" s="84"/>
      <c r="P113" s="16">
        <f t="shared" si="30"/>
        <v>1</v>
      </c>
      <c r="Q113" s="16">
        <f t="shared" si="31"/>
        <v>1</v>
      </c>
      <c r="R113" s="17">
        <f t="shared" si="33"/>
        <v>1</v>
      </c>
      <c r="S113" s="17">
        <f t="shared" si="35"/>
        <v>1</v>
      </c>
      <c r="T113" s="17">
        <f t="shared" si="37"/>
        <v>1</v>
      </c>
      <c r="U113" s="17">
        <f t="shared" si="39"/>
        <v>1</v>
      </c>
      <c r="V113" s="17">
        <f t="shared" si="41"/>
        <v>1</v>
      </c>
      <c r="W113" s="17">
        <f t="shared" si="42"/>
        <v>1</v>
      </c>
      <c r="X113" s="17">
        <f t="shared" si="51"/>
        <v>1</v>
      </c>
      <c r="Y113" s="17">
        <f t="shared" si="52"/>
        <v>1</v>
      </c>
      <c r="Z113" s="17">
        <f t="shared" si="53"/>
        <v>1</v>
      </c>
      <c r="AA113" s="17">
        <f t="shared" si="54"/>
        <v>1</v>
      </c>
      <c r="AB113" s="17">
        <f t="shared" si="48"/>
        <v>1</v>
      </c>
      <c r="AC113" s="17">
        <f t="shared" ref="AC113:AL113" si="57">(1+$AB$66)^(-AC89)</f>
        <v>1</v>
      </c>
      <c r="AD113" s="17">
        <f t="shared" si="57"/>
        <v>1</v>
      </c>
      <c r="AE113" s="17">
        <f t="shared" si="57"/>
        <v>0.99923500039285718</v>
      </c>
      <c r="AF113" s="17">
        <f t="shared" si="57"/>
        <v>0.99847058601011351</v>
      </c>
      <c r="AG113" s="17">
        <f t="shared" si="57"/>
        <v>0.99770675640407225</v>
      </c>
      <c r="AH113" s="17">
        <f t="shared" si="57"/>
        <v>0.99694351112737933</v>
      </c>
      <c r="AI113" s="17">
        <f t="shared" si="57"/>
        <v>0.99618084973302357</v>
      </c>
      <c r="AJ113" s="17">
        <f t="shared" si="57"/>
        <v>0.99541877177433458</v>
      </c>
      <c r="AK113" s="17">
        <f t="shared" si="57"/>
        <v>0.99465727680498472</v>
      </c>
      <c r="AL113" s="17">
        <f t="shared" si="57"/>
        <v>0.99389636437898732</v>
      </c>
      <c r="AO113" s="7">
        <f>ROW()</f>
        <v>113</v>
      </c>
    </row>
    <row r="114" spans="2:41" ht="13.9" customHeight="1" x14ac:dyDescent="0.2">
      <c r="B114" s="16" t="s">
        <v>196</v>
      </c>
      <c r="C114" s="16"/>
      <c r="H114">
        <f t="shared" si="50"/>
        <v>2028</v>
      </c>
      <c r="M114" s="84"/>
      <c r="P114" s="16">
        <f t="shared" si="30"/>
        <v>1</v>
      </c>
      <c r="Q114" s="16">
        <f t="shared" si="31"/>
        <v>1</v>
      </c>
      <c r="R114" s="17">
        <f t="shared" si="33"/>
        <v>1</v>
      </c>
      <c r="S114" s="17">
        <f t="shared" si="35"/>
        <v>1</v>
      </c>
      <c r="T114" s="17">
        <f t="shared" si="37"/>
        <v>1</v>
      </c>
      <c r="U114" s="17">
        <f t="shared" si="39"/>
        <v>1</v>
      </c>
      <c r="V114" s="17">
        <f t="shared" si="41"/>
        <v>1</v>
      </c>
      <c r="W114" s="17">
        <f t="shared" si="42"/>
        <v>1</v>
      </c>
      <c r="X114" s="17">
        <f t="shared" si="51"/>
        <v>1</v>
      </c>
      <c r="Y114" s="17">
        <f t="shared" si="52"/>
        <v>1</v>
      </c>
      <c r="Z114" s="17">
        <f t="shared" si="53"/>
        <v>1</v>
      </c>
      <c r="AA114" s="17">
        <f t="shared" si="54"/>
        <v>1</v>
      </c>
      <c r="AB114" s="17">
        <f t="shared" si="48"/>
        <v>1</v>
      </c>
      <c r="AC114" s="17">
        <f t="shared" ref="AC114:AL114" si="58">(1+$AB$66)^(-AC90)</f>
        <v>1</v>
      </c>
      <c r="AD114" s="17">
        <f t="shared" si="58"/>
        <v>1</v>
      </c>
      <c r="AE114" s="17">
        <f t="shared" si="58"/>
        <v>1</v>
      </c>
      <c r="AF114" s="17">
        <f t="shared" si="58"/>
        <v>0.99923500039285718</v>
      </c>
      <c r="AG114" s="17">
        <f t="shared" si="58"/>
        <v>0.99847058601011351</v>
      </c>
      <c r="AH114" s="17">
        <f t="shared" si="58"/>
        <v>0.99770675640407225</v>
      </c>
      <c r="AI114" s="17">
        <f t="shared" si="58"/>
        <v>0.99694351112737933</v>
      </c>
      <c r="AJ114" s="17">
        <f t="shared" si="58"/>
        <v>0.99618084973302357</v>
      </c>
      <c r="AK114" s="17">
        <f t="shared" si="58"/>
        <v>0.99541877177433458</v>
      </c>
      <c r="AL114" s="17">
        <f t="shared" si="58"/>
        <v>0.99465727680498472</v>
      </c>
      <c r="AO114" s="7">
        <f>ROW()</f>
        <v>114</v>
      </c>
    </row>
    <row r="115" spans="2:41" ht="13.9" customHeight="1" x14ac:dyDescent="0.2">
      <c r="B115" s="16" t="s">
        <v>196</v>
      </c>
      <c r="C115" s="16"/>
      <c r="H115">
        <f t="shared" si="50"/>
        <v>2029</v>
      </c>
      <c r="M115" s="84"/>
      <c r="P115" s="16">
        <f t="shared" si="30"/>
        <v>1</v>
      </c>
      <c r="Q115" s="16">
        <f t="shared" si="31"/>
        <v>1</v>
      </c>
      <c r="R115" s="17">
        <f t="shared" si="33"/>
        <v>1</v>
      </c>
      <c r="S115" s="17">
        <f t="shared" si="35"/>
        <v>1</v>
      </c>
      <c r="T115" s="17">
        <f t="shared" si="37"/>
        <v>1</v>
      </c>
      <c r="U115" s="17">
        <f t="shared" si="39"/>
        <v>1</v>
      </c>
      <c r="V115" s="17">
        <f t="shared" si="41"/>
        <v>1</v>
      </c>
      <c r="W115" s="17">
        <f t="shared" si="42"/>
        <v>1</v>
      </c>
      <c r="X115" s="17">
        <f t="shared" si="51"/>
        <v>1</v>
      </c>
      <c r="Y115" s="17">
        <f t="shared" si="52"/>
        <v>1</v>
      </c>
      <c r="Z115" s="17">
        <f t="shared" si="53"/>
        <v>1</v>
      </c>
      <c r="AA115" s="17">
        <f t="shared" si="54"/>
        <v>1</v>
      </c>
      <c r="AB115" s="17">
        <f t="shared" si="48"/>
        <v>1</v>
      </c>
      <c r="AC115" s="17">
        <f t="shared" ref="AC115:AL115" si="59">(1+$AB$66)^(-AC91)</f>
        <v>1</v>
      </c>
      <c r="AD115" s="17">
        <f t="shared" si="59"/>
        <v>1</v>
      </c>
      <c r="AE115" s="17">
        <f t="shared" si="59"/>
        <v>1</v>
      </c>
      <c r="AF115" s="17">
        <f t="shared" si="59"/>
        <v>1</v>
      </c>
      <c r="AG115" s="17">
        <f t="shared" si="59"/>
        <v>0.99923500039285718</v>
      </c>
      <c r="AH115" s="17">
        <f t="shared" si="59"/>
        <v>0.99847058601011351</v>
      </c>
      <c r="AI115" s="17">
        <f t="shared" si="59"/>
        <v>0.99770675640407225</v>
      </c>
      <c r="AJ115" s="17">
        <f t="shared" si="59"/>
        <v>0.99694351112737933</v>
      </c>
      <c r="AK115" s="17">
        <f t="shared" si="59"/>
        <v>0.99618084973302357</v>
      </c>
      <c r="AL115" s="17">
        <f t="shared" si="59"/>
        <v>0.99541877177433458</v>
      </c>
      <c r="AO115" s="7">
        <f>ROW()</f>
        <v>115</v>
      </c>
    </row>
    <row r="116" spans="2:41" ht="13.9" customHeight="1" x14ac:dyDescent="0.2">
      <c r="B116" s="16" t="s">
        <v>196</v>
      </c>
      <c r="C116" s="16"/>
      <c r="H116">
        <f t="shared" si="50"/>
        <v>2030</v>
      </c>
      <c r="M116" s="84"/>
      <c r="P116" s="16">
        <f t="shared" si="30"/>
        <v>1</v>
      </c>
      <c r="Q116" s="16">
        <f t="shared" si="31"/>
        <v>1</v>
      </c>
      <c r="R116" s="17">
        <f t="shared" si="33"/>
        <v>1</v>
      </c>
      <c r="S116" s="17">
        <f t="shared" si="35"/>
        <v>1</v>
      </c>
      <c r="T116" s="17">
        <f t="shared" si="37"/>
        <v>1</v>
      </c>
      <c r="U116" s="17">
        <f t="shared" si="39"/>
        <v>1</v>
      </c>
      <c r="V116" s="17">
        <f t="shared" si="41"/>
        <v>1</v>
      </c>
      <c r="W116" s="17">
        <f t="shared" si="42"/>
        <v>1</v>
      </c>
      <c r="X116" s="17">
        <f t="shared" si="51"/>
        <v>1</v>
      </c>
      <c r="Y116" s="17">
        <f t="shared" si="52"/>
        <v>1</v>
      </c>
      <c r="Z116" s="17">
        <f t="shared" si="53"/>
        <v>1</v>
      </c>
      <c r="AA116" s="17">
        <f t="shared" si="54"/>
        <v>1</v>
      </c>
      <c r="AB116" s="17">
        <f t="shared" si="48"/>
        <v>1</v>
      </c>
      <c r="AC116" s="17">
        <f t="shared" ref="AC116:AL116" si="60">(1+$AB$66)^(-AC92)</f>
        <v>1</v>
      </c>
      <c r="AD116" s="17">
        <f t="shared" si="60"/>
        <v>1</v>
      </c>
      <c r="AE116" s="17">
        <f t="shared" si="60"/>
        <v>1</v>
      </c>
      <c r="AF116" s="17">
        <f t="shared" si="60"/>
        <v>1</v>
      </c>
      <c r="AG116" s="17">
        <f t="shared" si="60"/>
        <v>1</v>
      </c>
      <c r="AH116" s="17">
        <f t="shared" si="60"/>
        <v>0.99923500039285718</v>
      </c>
      <c r="AI116" s="17">
        <f t="shared" si="60"/>
        <v>0.99847058601011351</v>
      </c>
      <c r="AJ116" s="17">
        <f t="shared" si="60"/>
        <v>0.99770675640407225</v>
      </c>
      <c r="AK116" s="17">
        <f t="shared" si="60"/>
        <v>0.99694351112737933</v>
      </c>
      <c r="AL116" s="17">
        <f t="shared" si="60"/>
        <v>0.99618084973302357</v>
      </c>
      <c r="AO116" s="7">
        <f>ROW()</f>
        <v>116</v>
      </c>
    </row>
    <row r="117" spans="2:41" ht="13.9" customHeight="1" x14ac:dyDescent="0.2">
      <c r="B117" s="16" t="s">
        <v>196</v>
      </c>
      <c r="C117" s="16"/>
      <c r="H117">
        <f t="shared" si="50"/>
        <v>2031</v>
      </c>
      <c r="M117" s="84"/>
      <c r="P117" s="16">
        <f t="shared" si="30"/>
        <v>1</v>
      </c>
      <c r="Q117" s="16">
        <f t="shared" si="31"/>
        <v>1</v>
      </c>
      <c r="R117" s="17">
        <f t="shared" si="33"/>
        <v>1</v>
      </c>
      <c r="S117" s="17">
        <f t="shared" si="35"/>
        <v>1</v>
      </c>
      <c r="T117" s="17">
        <f t="shared" si="37"/>
        <v>1</v>
      </c>
      <c r="U117" s="17">
        <f t="shared" si="39"/>
        <v>1</v>
      </c>
      <c r="V117" s="17">
        <f t="shared" si="41"/>
        <v>1</v>
      </c>
      <c r="W117" s="17">
        <f t="shared" si="42"/>
        <v>1</v>
      </c>
      <c r="X117" s="17">
        <f t="shared" si="51"/>
        <v>1</v>
      </c>
      <c r="Y117" s="17">
        <f t="shared" si="52"/>
        <v>1</v>
      </c>
      <c r="Z117" s="17">
        <f t="shared" si="53"/>
        <v>1</v>
      </c>
      <c r="AA117" s="17">
        <f t="shared" si="54"/>
        <v>1</v>
      </c>
      <c r="AB117" s="17">
        <f t="shared" si="48"/>
        <v>1</v>
      </c>
      <c r="AC117" s="17">
        <f t="shared" ref="AC117:AL117" si="61">(1+$AB$66)^(-AC93)</f>
        <v>1</v>
      </c>
      <c r="AD117" s="17">
        <f t="shared" si="61"/>
        <v>1</v>
      </c>
      <c r="AE117" s="17">
        <f t="shared" si="61"/>
        <v>1</v>
      </c>
      <c r="AF117" s="17">
        <f t="shared" si="61"/>
        <v>1</v>
      </c>
      <c r="AG117" s="17">
        <f t="shared" si="61"/>
        <v>1</v>
      </c>
      <c r="AH117" s="17">
        <f t="shared" si="61"/>
        <v>1</v>
      </c>
      <c r="AI117" s="17">
        <f t="shared" si="61"/>
        <v>0.99923500039285718</v>
      </c>
      <c r="AJ117" s="17">
        <f t="shared" si="61"/>
        <v>0.99847058601011351</v>
      </c>
      <c r="AK117" s="17">
        <f t="shared" si="61"/>
        <v>0.99770675640407225</v>
      </c>
      <c r="AL117" s="17">
        <f t="shared" si="61"/>
        <v>0.99694351112737933</v>
      </c>
      <c r="AO117" s="7">
        <f>ROW()</f>
        <v>117</v>
      </c>
    </row>
    <row r="118" spans="2:41" ht="13.9" customHeight="1" x14ac:dyDescent="0.2">
      <c r="B118" s="16" t="s">
        <v>196</v>
      </c>
      <c r="C118" s="16"/>
      <c r="H118">
        <f t="shared" si="50"/>
        <v>2032</v>
      </c>
      <c r="M118" s="84"/>
      <c r="P118" s="16">
        <f t="shared" si="30"/>
        <v>1</v>
      </c>
      <c r="Q118" s="16">
        <f t="shared" si="31"/>
        <v>1</v>
      </c>
      <c r="R118" s="17">
        <f t="shared" si="33"/>
        <v>1</v>
      </c>
      <c r="S118" s="17">
        <f t="shared" si="35"/>
        <v>1</v>
      </c>
      <c r="T118" s="17">
        <f t="shared" si="37"/>
        <v>1</v>
      </c>
      <c r="U118" s="17">
        <f t="shared" si="39"/>
        <v>1</v>
      </c>
      <c r="V118" s="17">
        <f t="shared" si="41"/>
        <v>1</v>
      </c>
      <c r="W118" s="17">
        <f t="shared" si="42"/>
        <v>1</v>
      </c>
      <c r="X118" s="17">
        <f t="shared" si="51"/>
        <v>1</v>
      </c>
      <c r="Y118" s="17">
        <f t="shared" si="52"/>
        <v>1</v>
      </c>
      <c r="Z118" s="17">
        <f t="shared" si="53"/>
        <v>1</v>
      </c>
      <c r="AA118" s="17">
        <f t="shared" si="54"/>
        <v>1</v>
      </c>
      <c r="AB118" s="17">
        <f t="shared" si="48"/>
        <v>1</v>
      </c>
      <c r="AC118" s="17">
        <f t="shared" ref="AC118:AL118" si="62">(1+$AB$66)^(-AC94)</f>
        <v>1</v>
      </c>
      <c r="AD118" s="17">
        <f t="shared" si="62"/>
        <v>1</v>
      </c>
      <c r="AE118" s="17">
        <f t="shared" si="62"/>
        <v>1</v>
      </c>
      <c r="AF118" s="17">
        <f t="shared" si="62"/>
        <v>1</v>
      </c>
      <c r="AG118" s="17">
        <f t="shared" si="62"/>
        <v>1</v>
      </c>
      <c r="AH118" s="17">
        <f t="shared" si="62"/>
        <v>1</v>
      </c>
      <c r="AI118" s="17">
        <f t="shared" si="62"/>
        <v>1</v>
      </c>
      <c r="AJ118" s="17">
        <f t="shared" si="62"/>
        <v>0.99923500039285718</v>
      </c>
      <c r="AK118" s="17">
        <f t="shared" si="62"/>
        <v>0.99847058601011351</v>
      </c>
      <c r="AL118" s="17">
        <f t="shared" si="62"/>
        <v>0.99770675640407225</v>
      </c>
      <c r="AO118" s="7">
        <f>ROW()</f>
        <v>118</v>
      </c>
    </row>
    <row r="119" spans="2:41" ht="13.9" customHeight="1" x14ac:dyDescent="0.2">
      <c r="B119" s="16" t="s">
        <v>196</v>
      </c>
      <c r="C119" s="16"/>
      <c r="H119">
        <f t="shared" si="50"/>
        <v>2033</v>
      </c>
      <c r="M119" s="84"/>
      <c r="P119" s="16">
        <f t="shared" si="30"/>
        <v>1</v>
      </c>
      <c r="Q119" s="16">
        <f t="shared" si="31"/>
        <v>1</v>
      </c>
      <c r="R119" s="17">
        <f t="shared" si="33"/>
        <v>1</v>
      </c>
      <c r="S119" s="17">
        <f t="shared" si="35"/>
        <v>1</v>
      </c>
      <c r="T119" s="17">
        <f t="shared" si="37"/>
        <v>1</v>
      </c>
      <c r="U119" s="17">
        <f t="shared" si="39"/>
        <v>1</v>
      </c>
      <c r="V119" s="17">
        <f t="shared" si="41"/>
        <v>1</v>
      </c>
      <c r="W119" s="17">
        <f t="shared" si="42"/>
        <v>1</v>
      </c>
      <c r="X119" s="17">
        <f t="shared" si="51"/>
        <v>1</v>
      </c>
      <c r="Y119" s="17">
        <f t="shared" si="52"/>
        <v>1</v>
      </c>
      <c r="Z119" s="17">
        <f t="shared" si="53"/>
        <v>1</v>
      </c>
      <c r="AA119" s="17">
        <f t="shared" si="54"/>
        <v>1</v>
      </c>
      <c r="AB119" s="17">
        <f t="shared" ref="AB119:AL119" si="63">(1+$AB$66)^(-AB95)</f>
        <v>1</v>
      </c>
      <c r="AC119" s="17">
        <f t="shared" si="63"/>
        <v>1</v>
      </c>
      <c r="AD119" s="17">
        <f t="shared" si="63"/>
        <v>1</v>
      </c>
      <c r="AE119" s="17">
        <f t="shared" si="63"/>
        <v>1</v>
      </c>
      <c r="AF119" s="17">
        <f t="shared" si="63"/>
        <v>1</v>
      </c>
      <c r="AG119" s="17">
        <f t="shared" si="63"/>
        <v>1</v>
      </c>
      <c r="AH119" s="17">
        <f t="shared" si="63"/>
        <v>1</v>
      </c>
      <c r="AI119" s="17">
        <f t="shared" si="63"/>
        <v>1</v>
      </c>
      <c r="AJ119" s="17">
        <f t="shared" si="63"/>
        <v>1</v>
      </c>
      <c r="AK119" s="17">
        <f t="shared" si="63"/>
        <v>0.99923500039285718</v>
      </c>
      <c r="AL119" s="17">
        <f t="shared" si="63"/>
        <v>0.99847058601011351</v>
      </c>
      <c r="AO119" s="7">
        <f>ROW()</f>
        <v>119</v>
      </c>
    </row>
    <row r="120" spans="2:41" ht="13.9" customHeight="1" x14ac:dyDescent="0.2">
      <c r="B120" s="16" t="s">
        <v>196</v>
      </c>
      <c r="C120" s="16"/>
      <c r="H120">
        <f t="shared" si="50"/>
        <v>2034</v>
      </c>
      <c r="M120" s="84"/>
      <c r="P120" s="16">
        <f t="shared" si="30"/>
        <v>1</v>
      </c>
      <c r="Q120" s="16">
        <f t="shared" si="31"/>
        <v>1</v>
      </c>
      <c r="R120" s="17">
        <f t="shared" si="33"/>
        <v>1</v>
      </c>
      <c r="S120" s="17">
        <f t="shared" si="35"/>
        <v>1</v>
      </c>
      <c r="T120" s="17">
        <f t="shared" si="37"/>
        <v>1</v>
      </c>
      <c r="U120" s="17">
        <f t="shared" si="39"/>
        <v>1</v>
      </c>
      <c r="V120" s="17">
        <f t="shared" si="41"/>
        <v>1</v>
      </c>
      <c r="W120" s="17">
        <f t="shared" si="42"/>
        <v>1</v>
      </c>
      <c r="X120" s="17">
        <f t="shared" si="51"/>
        <v>1</v>
      </c>
      <c r="Y120" s="17">
        <f t="shared" si="52"/>
        <v>1</v>
      </c>
      <c r="Z120" s="17">
        <f t="shared" si="53"/>
        <v>1</v>
      </c>
      <c r="AA120" s="17">
        <f t="shared" si="54"/>
        <v>1</v>
      </c>
      <c r="AB120" s="17">
        <f t="shared" ref="AB120:AL120" si="64">(1+$AB$66)^(-AB96)</f>
        <v>1</v>
      </c>
      <c r="AC120" s="17">
        <f t="shared" si="64"/>
        <v>1</v>
      </c>
      <c r="AD120" s="17">
        <f t="shared" si="64"/>
        <v>1</v>
      </c>
      <c r="AE120" s="17">
        <f t="shared" si="64"/>
        <v>1</v>
      </c>
      <c r="AF120" s="17">
        <f t="shared" si="64"/>
        <v>1</v>
      </c>
      <c r="AG120" s="17">
        <f t="shared" si="64"/>
        <v>1</v>
      </c>
      <c r="AH120" s="17">
        <f t="shared" si="64"/>
        <v>1</v>
      </c>
      <c r="AI120" s="17">
        <f t="shared" si="64"/>
        <v>1</v>
      </c>
      <c r="AJ120" s="17">
        <f t="shared" si="64"/>
        <v>1</v>
      </c>
      <c r="AK120" s="17">
        <f t="shared" si="64"/>
        <v>1</v>
      </c>
      <c r="AL120" s="17">
        <f t="shared" si="64"/>
        <v>0.99923500039285718</v>
      </c>
      <c r="AO120" s="7">
        <f>ROW()</f>
        <v>120</v>
      </c>
    </row>
    <row r="121" spans="2:41" ht="13.9" customHeight="1" x14ac:dyDescent="0.2">
      <c r="M121" s="84"/>
      <c r="AO121" s="7">
        <f>ROW()</f>
        <v>121</v>
      </c>
    </row>
    <row r="122" spans="2:41" ht="13.9" customHeight="1" x14ac:dyDescent="0.2">
      <c r="B122" s="42" t="s">
        <v>589</v>
      </c>
      <c r="M122" s="84"/>
      <c r="P122" s="16">
        <f>PRODUCT(P98:P120)-1</f>
        <v>-4.2332362676043012E-3</v>
      </c>
      <c r="Q122" s="16">
        <f>PRODUCT(Q98:Q120)-1</f>
        <v>-8.8077472502000598E-3</v>
      </c>
      <c r="R122" s="16">
        <f t="shared" ref="R122:AL122" si="65">PRODUCT(R98:R120)-1</f>
        <v>-1.3746632996114672E-2</v>
      </c>
      <c r="S122" s="16">
        <f t="shared" si="65"/>
        <v>-1.9073766205030651E-2</v>
      </c>
      <c r="T122" s="16">
        <f t="shared" si="65"/>
        <v>-2.4813666281474744E-2</v>
      </c>
      <c r="U122" s="16">
        <f t="shared" si="65"/>
        <v>-3.0991339602578827E-2</v>
      </c>
      <c r="V122" s="16">
        <f t="shared" si="65"/>
        <v>-3.7632082155807378E-2</v>
      </c>
      <c r="W122" s="16">
        <f t="shared" si="65"/>
        <v>-4.476124086183908E-2</v>
      </c>
      <c r="X122" s="16">
        <f t="shared" si="65"/>
        <v>-5.2403930242184482E-2</v>
      </c>
      <c r="Y122" s="16">
        <f t="shared" si="65"/>
        <v>-6.0584701659584517E-2</v>
      </c>
      <c r="Z122" s="16">
        <f t="shared" si="65"/>
        <v>-6.5370656356075418E-2</v>
      </c>
      <c r="AA122" s="16">
        <f t="shared" si="65"/>
        <v>-7.0466452771775767E-2</v>
      </c>
      <c r="AB122" s="16">
        <f t="shared" si="65"/>
        <v>-7.5880712385420823E-2</v>
      </c>
      <c r="AC122" s="16">
        <f t="shared" si="65"/>
        <v>-8.1579882321038744E-2</v>
      </c>
      <c r="AD122" s="16">
        <f t="shared" si="65"/>
        <v>-8.752920504593753E-2</v>
      </c>
      <c r="AE122" s="16">
        <f t="shared" si="65"/>
        <v>-9.3692861693761009E-2</v>
      </c>
      <c r="AF122" s="16">
        <f t="shared" si="65"/>
        <v>-0.10003412966671998</v>
      </c>
      <c r="AG122" s="16">
        <f t="shared" si="65"/>
        <v>-0.10651555557196812</v>
      </c>
      <c r="AH122" s="16">
        <f t="shared" si="65"/>
        <v>-0.1130991447154005</v>
      </c>
      <c r="AI122" s="16">
        <f t="shared" si="65"/>
        <v>-0.11974656856953736</v>
      </c>
      <c r="AJ122" s="16">
        <f t="shared" si="65"/>
        <v>-0.12641939185319817</v>
      </c>
      <c r="AK122" s="16">
        <f t="shared" si="65"/>
        <v>-0.1330793211118102</v>
      </c>
      <c r="AL122" s="16">
        <f t="shared" si="65"/>
        <v>-0.13968847697033093</v>
      </c>
      <c r="AO122" s="7">
        <f>ROW()</f>
        <v>122</v>
      </c>
    </row>
    <row r="123" spans="2:41" ht="13.9" customHeight="1" x14ac:dyDescent="0.2">
      <c r="M123" s="84"/>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O123" s="7">
        <f>ROW()</f>
        <v>123</v>
      </c>
    </row>
    <row r="124" spans="2:41" ht="13.9" customHeight="1" x14ac:dyDescent="0.2">
      <c r="M124" s="84"/>
      <c r="AO124" s="7">
        <f>ROW()</f>
        <v>124</v>
      </c>
    </row>
    <row r="125" spans="2:41" ht="13.9" customHeight="1" x14ac:dyDescent="0.2">
      <c r="B125" s="9" t="s">
        <v>215</v>
      </c>
      <c r="D125" t="s">
        <v>147</v>
      </c>
      <c r="M125" s="84"/>
      <c r="AO125" s="7">
        <f>ROW()</f>
        <v>125</v>
      </c>
    </row>
    <row r="126" spans="2:41" ht="13.9" customHeight="1" x14ac:dyDescent="0.2">
      <c r="M126" s="84"/>
      <c r="AO126" s="7">
        <f>ROW()</f>
        <v>126</v>
      </c>
    </row>
    <row r="127" spans="2:41" ht="13.9" customHeight="1" x14ac:dyDescent="0.2">
      <c r="B127" s="456" t="s">
        <v>179</v>
      </c>
      <c r="C127" s="456"/>
      <c r="D127" s="456"/>
      <c r="E127" s="456"/>
      <c r="F127" s="456"/>
      <c r="G127" s="456"/>
      <c r="H127" s="456"/>
      <c r="I127" s="69"/>
      <c r="J127" s="69"/>
      <c r="M127" s="84"/>
      <c r="AO127" s="7">
        <f>ROW()</f>
        <v>127</v>
      </c>
    </row>
    <row r="128" spans="2:41" ht="13.9" customHeight="1" x14ac:dyDescent="0.2">
      <c r="B128" s="456"/>
      <c r="C128" s="456"/>
      <c r="D128" s="456"/>
      <c r="E128" s="456"/>
      <c r="F128" s="456"/>
      <c r="G128" s="456"/>
      <c r="H128" s="456"/>
      <c r="I128" s="69"/>
      <c r="J128" s="69"/>
      <c r="M128" s="84"/>
      <c r="AO128" s="7">
        <f>ROW()</f>
        <v>128</v>
      </c>
    </row>
    <row r="129" spans="2:15" ht="13.9" customHeight="1" x14ac:dyDescent="0.2">
      <c r="M129" s="84"/>
    </row>
    <row r="130" spans="2:15" ht="13.9" customHeight="1" x14ac:dyDescent="0.2">
      <c r="B130" s="14" t="s">
        <v>218</v>
      </c>
      <c r="F130" s="13"/>
      <c r="G130" s="13">
        <v>2020</v>
      </c>
      <c r="M130" s="84"/>
    </row>
    <row r="131" spans="2:15" ht="13.9" customHeight="1" x14ac:dyDescent="0.2">
      <c r="M131" s="84"/>
    </row>
    <row r="132" spans="2:15" ht="13.9" customHeight="1" x14ac:dyDescent="0.2">
      <c r="B132" t="s">
        <v>216</v>
      </c>
      <c r="G132" s="47">
        <f>AB25</f>
        <v>4732.9303804946167</v>
      </c>
      <c r="M132" s="84"/>
    </row>
    <row r="133" spans="2:15" ht="13.9" customHeight="1" x14ac:dyDescent="0.2">
      <c r="B133" t="s">
        <v>217</v>
      </c>
      <c r="G133" s="47">
        <f>AB58</f>
        <v>4373.7922515520841</v>
      </c>
      <c r="M133" s="84"/>
    </row>
    <row r="134" spans="2:15" s="14" customFormat="1" ht="13.9" customHeight="1" x14ac:dyDescent="0.2">
      <c r="B134" s="14" t="s">
        <v>10</v>
      </c>
      <c r="G134" s="48">
        <f>G133/G132</f>
        <v>0.92411928761457918</v>
      </c>
      <c r="M134" s="209"/>
      <c r="N134" s="209"/>
      <c r="O134" s="209"/>
    </row>
    <row r="135" spans="2:15" ht="13.9" customHeight="1" x14ac:dyDescent="0.2">
      <c r="M135" s="84"/>
    </row>
    <row r="136" spans="2:15" ht="13.9" customHeight="1" x14ac:dyDescent="0.2">
      <c r="B136" t="s">
        <v>219</v>
      </c>
      <c r="G136" s="23">
        <f>AB38</f>
        <v>1.0923313035751621</v>
      </c>
      <c r="M136" s="84"/>
    </row>
    <row r="137" spans="2:15" ht="13.9" customHeight="1" x14ac:dyDescent="0.2">
      <c r="B137" t="s">
        <v>221</v>
      </c>
      <c r="G137" s="23">
        <f>AB49</f>
        <v>0.99125950586638045</v>
      </c>
      <c r="M137" s="84"/>
    </row>
    <row r="138" spans="2:15" s="14" customFormat="1" ht="13.9" customHeight="1" x14ac:dyDescent="0.2">
      <c r="B138" s="14" t="s">
        <v>10</v>
      </c>
      <c r="G138" s="48">
        <f>G137/G136</f>
        <v>0.90747148106258868</v>
      </c>
      <c r="M138" s="209"/>
      <c r="N138" s="209"/>
      <c r="O138" s="209"/>
    </row>
    <row r="139" spans="2:15" ht="13.9" customHeight="1" x14ac:dyDescent="0.2">
      <c r="G139" s="23"/>
      <c r="M139" s="84"/>
    </row>
    <row r="140" spans="2:15" ht="13.9" customHeight="1" x14ac:dyDescent="0.2">
      <c r="B140" s="3" t="s">
        <v>300</v>
      </c>
      <c r="G140" s="23"/>
      <c r="M140" s="84"/>
    </row>
    <row r="141" spans="2:15" ht="13.9" customHeight="1" x14ac:dyDescent="0.2">
      <c r="B141" t="s">
        <v>220</v>
      </c>
      <c r="G141" s="23">
        <f>AB43</f>
        <v>2493.5830723851882</v>
      </c>
      <c r="M141" s="84"/>
    </row>
    <row r="142" spans="2:15" ht="13.9" customHeight="1" x14ac:dyDescent="0.2">
      <c r="B142" t="s">
        <v>222</v>
      </c>
      <c r="G142" s="23">
        <f>AB60</f>
        <v>2091.1484346749653</v>
      </c>
      <c r="M142" s="84"/>
    </row>
    <row r="143" spans="2:15" s="14" customFormat="1" ht="13.9" customHeight="1" x14ac:dyDescent="0.2">
      <c r="B143" s="14" t="s">
        <v>10</v>
      </c>
      <c r="G143" s="68">
        <f>G142/G141</f>
        <v>0.83861189861010654</v>
      </c>
      <c r="H143"/>
      <c r="I143"/>
      <c r="J143"/>
      <c r="K143"/>
      <c r="L143"/>
      <c r="M143" s="84"/>
      <c r="N143" s="84"/>
      <c r="O143" s="84"/>
    </row>
    <row r="144" spans="2:15" s="14" customFormat="1" ht="13.9" customHeight="1" x14ac:dyDescent="0.2">
      <c r="G144" s="48"/>
      <c r="H144"/>
      <c r="I144"/>
      <c r="J144"/>
      <c r="K144"/>
      <c r="L144"/>
      <c r="M144" s="84"/>
      <c r="N144" s="84"/>
      <c r="O144" s="84"/>
    </row>
    <row r="145" spans="2:15" s="14" customFormat="1" ht="13.9" customHeight="1" x14ac:dyDescent="0.2">
      <c r="B145" s="14" t="s">
        <v>9</v>
      </c>
      <c r="G145" s="68">
        <f>G138*G134</f>
        <v>0.83861189861010654</v>
      </c>
      <c r="H145"/>
      <c r="I145"/>
      <c r="J145"/>
      <c r="K145"/>
      <c r="L145"/>
      <c r="M145" s="84"/>
      <c r="N145" s="84"/>
      <c r="O145" s="84"/>
    </row>
    <row r="146" spans="2:15" ht="13.9" customHeight="1" x14ac:dyDescent="0.2">
      <c r="G146" s="23"/>
      <c r="M146" s="84"/>
    </row>
    <row r="147" spans="2:15" ht="13.9" customHeight="1" x14ac:dyDescent="0.2">
      <c r="B147" t="s">
        <v>223</v>
      </c>
      <c r="G147" s="23"/>
      <c r="M147" s="84"/>
    </row>
    <row r="148" spans="2:15" ht="13.9" customHeight="1" x14ac:dyDescent="0.2">
      <c r="B148" t="s">
        <v>224</v>
      </c>
      <c r="G148" s="7">
        <f>(1-G134)/(1-G138)</f>
        <v>0.82007918484838704</v>
      </c>
      <c r="M148" s="84"/>
    </row>
    <row r="149" spans="2:15" ht="13.9" customHeight="1" x14ac:dyDescent="0.2">
      <c r="M149" s="84"/>
    </row>
    <row r="150" spans="2:15" ht="13.9" customHeight="1" x14ac:dyDescent="0.2">
      <c r="B150" s="49" t="s">
        <v>225</v>
      </c>
      <c r="C150" s="50"/>
      <c r="D150" s="50"/>
      <c r="E150" s="50"/>
      <c r="F150" s="50"/>
      <c r="G150" s="85">
        <f>G148/(1+G148)</f>
        <v>0.45057335509097635</v>
      </c>
      <c r="M150" s="84"/>
    </row>
    <row r="151" spans="2:15" ht="13.9" customHeight="1" x14ac:dyDescent="0.2">
      <c r="B151" s="52" t="s">
        <v>226</v>
      </c>
      <c r="C151" s="53"/>
      <c r="D151" s="53"/>
      <c r="E151" s="53"/>
      <c r="F151" s="53"/>
      <c r="G151" s="54">
        <f>1-G150</f>
        <v>0.54942664490902371</v>
      </c>
      <c r="M151" s="84"/>
    </row>
    <row r="152" spans="2:15" ht="13.9" customHeight="1" x14ac:dyDescent="0.2">
      <c r="M152" s="84"/>
    </row>
    <row r="153" spans="2:15" ht="13.9" customHeight="1" x14ac:dyDescent="0.2">
      <c r="M153" s="84"/>
    </row>
    <row r="154" spans="2:15" ht="13.9" customHeight="1" x14ac:dyDescent="0.2">
      <c r="M154" s="84"/>
    </row>
    <row r="155" spans="2:15" ht="13.9" customHeight="1" x14ac:dyDescent="0.2">
      <c r="M155" s="84"/>
    </row>
    <row r="156" spans="2:15" ht="13.9" customHeight="1" x14ac:dyDescent="0.2">
      <c r="M156" s="84"/>
    </row>
    <row r="157" spans="2:15" ht="13.9" customHeight="1" x14ac:dyDescent="0.2">
      <c r="M157" s="84"/>
    </row>
    <row r="158" spans="2:15" ht="13.9" customHeight="1" x14ac:dyDescent="0.2">
      <c r="M158" s="84"/>
    </row>
    <row r="159" spans="2:15" ht="13.9" customHeight="1" x14ac:dyDescent="0.2">
      <c r="M159" s="84"/>
    </row>
    <row r="160" spans="2:15" ht="13.9" customHeight="1" x14ac:dyDescent="0.2">
      <c r="M160" s="84"/>
    </row>
    <row r="161" spans="13:13" ht="13.9" customHeight="1" x14ac:dyDescent="0.2">
      <c r="M161" s="84"/>
    </row>
    <row r="162" spans="13:13" ht="13.9" customHeight="1" x14ac:dyDescent="0.2">
      <c r="M162" s="84"/>
    </row>
    <row r="163" spans="13:13" ht="13.9" customHeight="1" x14ac:dyDescent="0.2">
      <c r="M163" s="84"/>
    </row>
    <row r="164" spans="13:13" ht="13.9" customHeight="1" x14ac:dyDescent="0.2">
      <c r="M164" s="84"/>
    </row>
    <row r="165" spans="13:13" ht="13.9" customHeight="1" x14ac:dyDescent="0.2">
      <c r="M165" s="84"/>
    </row>
    <row r="166" spans="13:13" ht="13.9" customHeight="1" x14ac:dyDescent="0.2">
      <c r="M166" s="84"/>
    </row>
    <row r="167" spans="13:13" ht="13.9" customHeight="1" x14ac:dyDescent="0.2">
      <c r="M167" s="84"/>
    </row>
    <row r="168" spans="13:13" ht="13.9" customHeight="1" x14ac:dyDescent="0.2">
      <c r="M168" s="84"/>
    </row>
    <row r="169" spans="13:13" ht="13.9" customHeight="1" x14ac:dyDescent="0.2">
      <c r="M169" s="84"/>
    </row>
    <row r="170" spans="13:13" ht="13.9" customHeight="1" x14ac:dyDescent="0.2">
      <c r="M170" s="84"/>
    </row>
    <row r="171" spans="13:13" ht="13.9" customHeight="1" x14ac:dyDescent="0.2">
      <c r="M171" s="84"/>
    </row>
    <row r="172" spans="13:13" ht="13.9" customHeight="1" x14ac:dyDescent="0.2">
      <c r="M172" s="84"/>
    </row>
    <row r="173" spans="13:13" ht="13.9" customHeight="1" x14ac:dyDescent="0.2">
      <c r="M173" s="84"/>
    </row>
    <row r="174" spans="13:13" ht="13.9" customHeight="1" x14ac:dyDescent="0.2">
      <c r="M174" s="84"/>
    </row>
    <row r="175" spans="13:13" ht="13.9" customHeight="1" x14ac:dyDescent="0.2">
      <c r="M175" s="84"/>
    </row>
    <row r="176" spans="13:13" ht="13.9" customHeight="1" x14ac:dyDescent="0.2">
      <c r="M176" s="84"/>
    </row>
    <row r="177" spans="13:13" ht="13.9" customHeight="1" x14ac:dyDescent="0.2">
      <c r="M177" s="84"/>
    </row>
    <row r="178" spans="13:13" ht="13.9" customHeight="1" x14ac:dyDescent="0.2">
      <c r="M178" s="84"/>
    </row>
    <row r="179" spans="13:13" ht="13.9" customHeight="1" x14ac:dyDescent="0.2">
      <c r="M179" s="84"/>
    </row>
    <row r="180" spans="13:13" ht="13.9" customHeight="1" x14ac:dyDescent="0.2">
      <c r="M180" s="84"/>
    </row>
    <row r="181" spans="13:13" ht="13.9" customHeight="1" x14ac:dyDescent="0.2">
      <c r="M181" s="84"/>
    </row>
    <row r="182" spans="13:13" ht="13.9" customHeight="1" x14ac:dyDescent="0.2">
      <c r="M182" s="84"/>
    </row>
    <row r="183" spans="13:13" ht="13.9" customHeight="1" x14ac:dyDescent="0.2">
      <c r="M183" s="84"/>
    </row>
    <row r="184" spans="13:13" ht="13.9" customHeight="1" x14ac:dyDescent="0.2">
      <c r="M184" s="84"/>
    </row>
    <row r="185" spans="13:13" ht="13.9" customHeight="1" x14ac:dyDescent="0.2">
      <c r="M185" s="84"/>
    </row>
    <row r="186" spans="13:13" ht="13.9" customHeight="1" x14ac:dyDescent="0.2">
      <c r="M186" s="84"/>
    </row>
    <row r="187" spans="13:13" ht="13.9" customHeight="1" x14ac:dyDescent="0.2">
      <c r="M187" s="84"/>
    </row>
    <row r="188" spans="13:13" ht="13.9" customHeight="1" x14ac:dyDescent="0.2">
      <c r="M188" s="84"/>
    </row>
    <row r="189" spans="13:13" ht="13.9" customHeight="1" x14ac:dyDescent="0.2">
      <c r="M189" s="84"/>
    </row>
    <row r="190" spans="13:13" ht="13.9" customHeight="1" x14ac:dyDescent="0.2">
      <c r="M190" s="84"/>
    </row>
    <row r="191" spans="13:13" ht="13.9" customHeight="1" x14ac:dyDescent="0.2">
      <c r="M191" s="84"/>
    </row>
    <row r="192" spans="13:13" ht="13.9" customHeight="1" x14ac:dyDescent="0.2">
      <c r="M192" s="84"/>
    </row>
    <row r="193" spans="13:13" ht="13.9" customHeight="1" x14ac:dyDescent="0.2">
      <c r="M193" s="84"/>
    </row>
    <row r="194" spans="13:13" ht="13.9" customHeight="1" x14ac:dyDescent="0.2">
      <c r="M194" s="84"/>
    </row>
    <row r="195" spans="13:13" ht="13.9" customHeight="1" x14ac:dyDescent="0.2">
      <c r="M195" s="84"/>
    </row>
    <row r="196" spans="13:13" ht="13.9" customHeight="1" x14ac:dyDescent="0.2">
      <c r="M196" s="84"/>
    </row>
    <row r="197" spans="13:13" ht="13.9" customHeight="1" x14ac:dyDescent="0.2">
      <c r="M197" s="84"/>
    </row>
    <row r="198" spans="13:13" ht="13.9" customHeight="1" x14ac:dyDescent="0.2">
      <c r="M198" s="84"/>
    </row>
    <row r="199" spans="13:13" ht="13.9" customHeight="1" x14ac:dyDescent="0.2">
      <c r="M199" s="84"/>
    </row>
    <row r="200" spans="13:13" ht="13.9" customHeight="1" x14ac:dyDescent="0.2">
      <c r="M200" s="84"/>
    </row>
    <row r="201" spans="13:13" ht="13.9" customHeight="1" x14ac:dyDescent="0.2">
      <c r="M201" s="84"/>
    </row>
    <row r="202" spans="13:13" ht="13.9" customHeight="1" x14ac:dyDescent="0.2">
      <c r="M202" s="84"/>
    </row>
    <row r="203" spans="13:13" ht="13.9" customHeight="1" x14ac:dyDescent="0.2">
      <c r="M203" s="84"/>
    </row>
    <row r="204" spans="13:13" ht="13.9" customHeight="1" x14ac:dyDescent="0.2">
      <c r="M204" s="84"/>
    </row>
    <row r="205" spans="13:13" ht="13.9" customHeight="1" x14ac:dyDescent="0.2">
      <c r="M205" s="84"/>
    </row>
    <row r="206" spans="13:13" ht="13.9" customHeight="1" x14ac:dyDescent="0.2">
      <c r="M206" s="84"/>
    </row>
    <row r="207" spans="13:13" ht="13.9" customHeight="1" x14ac:dyDescent="0.2">
      <c r="M207" s="84"/>
    </row>
    <row r="208" spans="13:13" ht="13.9" customHeight="1" x14ac:dyDescent="0.2">
      <c r="M208" s="84"/>
    </row>
    <row r="209" spans="13:13" ht="13.9" customHeight="1" x14ac:dyDescent="0.2">
      <c r="M209" s="84"/>
    </row>
    <row r="210" spans="13:13" ht="13.9" customHeight="1" x14ac:dyDescent="0.2">
      <c r="M210" s="84"/>
    </row>
    <row r="211" spans="13:13" ht="13.9" customHeight="1" x14ac:dyDescent="0.2">
      <c r="M211" s="84"/>
    </row>
    <row r="212" spans="13:13" ht="13.9" customHeight="1" x14ac:dyDescent="0.2">
      <c r="M212" s="84"/>
    </row>
    <row r="213" spans="13:13" ht="13.9" customHeight="1" x14ac:dyDescent="0.2">
      <c r="M213" s="84"/>
    </row>
    <row r="214" spans="13:13" ht="13.9" customHeight="1" x14ac:dyDescent="0.2">
      <c r="M214" s="84"/>
    </row>
    <row r="215" spans="13:13" ht="13.9" customHeight="1" x14ac:dyDescent="0.2">
      <c r="M215" s="84"/>
    </row>
    <row r="216" spans="13:13" ht="13.9" customHeight="1" x14ac:dyDescent="0.2">
      <c r="M216" s="84"/>
    </row>
    <row r="217" spans="13:13" ht="13.9" customHeight="1" x14ac:dyDescent="0.2">
      <c r="M217" s="84"/>
    </row>
    <row r="218" spans="13:13" ht="13.9" customHeight="1" x14ac:dyDescent="0.2">
      <c r="M218" s="84"/>
    </row>
    <row r="219" spans="13:13" ht="13.9" customHeight="1" x14ac:dyDescent="0.2">
      <c r="M219" s="84"/>
    </row>
    <row r="220" spans="13:13" ht="13.9" customHeight="1" x14ac:dyDescent="0.2">
      <c r="M220" s="84"/>
    </row>
    <row r="221" spans="13:13" ht="13.9" customHeight="1" x14ac:dyDescent="0.2">
      <c r="M221" s="84"/>
    </row>
    <row r="222" spans="13:13" ht="13.9" customHeight="1" x14ac:dyDescent="0.2">
      <c r="M222" s="84"/>
    </row>
    <row r="223" spans="13:13" ht="13.9" customHeight="1" x14ac:dyDescent="0.2">
      <c r="M223" s="84"/>
    </row>
    <row r="224" spans="13:13" ht="13.9" customHeight="1" x14ac:dyDescent="0.2">
      <c r="M224" s="84"/>
    </row>
    <row r="225" spans="13:13" ht="13.9" customHeight="1" x14ac:dyDescent="0.2">
      <c r="M225" s="84"/>
    </row>
    <row r="226" spans="13:13" ht="13.9" customHeight="1" x14ac:dyDescent="0.2">
      <c r="M226" s="84"/>
    </row>
    <row r="227" spans="13:13" ht="13.9" customHeight="1" x14ac:dyDescent="0.2">
      <c r="M227" s="84"/>
    </row>
    <row r="228" spans="13:13" ht="13.9" customHeight="1" x14ac:dyDescent="0.2">
      <c r="M228" s="84"/>
    </row>
    <row r="229" spans="13:13" ht="13.9" customHeight="1" x14ac:dyDescent="0.2">
      <c r="M229" s="84"/>
    </row>
    <row r="230" spans="13:13" ht="13.9" customHeight="1" x14ac:dyDescent="0.2">
      <c r="M230" s="84"/>
    </row>
    <row r="231" spans="13:13" ht="13.9" customHeight="1" x14ac:dyDescent="0.2">
      <c r="M231" s="84"/>
    </row>
    <row r="232" spans="13:13" ht="13.9" customHeight="1" x14ac:dyDescent="0.2">
      <c r="M232" s="84"/>
    </row>
    <row r="233" spans="13:13" ht="13.9" customHeight="1" x14ac:dyDescent="0.2">
      <c r="M233" s="84"/>
    </row>
    <row r="234" spans="13:13" ht="13.9" customHeight="1" x14ac:dyDescent="0.2">
      <c r="M234" s="84"/>
    </row>
    <row r="235" spans="13:13" ht="13.9" customHeight="1" x14ac:dyDescent="0.2">
      <c r="M235" s="84"/>
    </row>
    <row r="236" spans="13:13" ht="13.9" customHeight="1" x14ac:dyDescent="0.2">
      <c r="M236" s="84"/>
    </row>
    <row r="237" spans="13:13" ht="13.9" customHeight="1" x14ac:dyDescent="0.2">
      <c r="M237" s="84"/>
    </row>
    <row r="238" spans="13:13" ht="13.9" customHeight="1" x14ac:dyDescent="0.2">
      <c r="M238" s="84"/>
    </row>
    <row r="239" spans="13:13" ht="13.9" customHeight="1" x14ac:dyDescent="0.2">
      <c r="M239" s="84"/>
    </row>
    <row r="240" spans="13:13" ht="13.9" customHeight="1" x14ac:dyDescent="0.2">
      <c r="M240" s="84"/>
    </row>
    <row r="241" spans="13:13" ht="13.9" customHeight="1" x14ac:dyDescent="0.2">
      <c r="M241" s="84"/>
    </row>
    <row r="242" spans="13:13" ht="13.9" customHeight="1" x14ac:dyDescent="0.2">
      <c r="M242" s="84"/>
    </row>
    <row r="243" spans="13:13" ht="13.9" customHeight="1" x14ac:dyDescent="0.2">
      <c r="M243" s="84"/>
    </row>
    <row r="244" spans="13:13" ht="13.9" customHeight="1" x14ac:dyDescent="0.2">
      <c r="M244" s="84"/>
    </row>
    <row r="245" spans="13:13" ht="13.9" customHeight="1" x14ac:dyDescent="0.2">
      <c r="M245" s="84"/>
    </row>
    <row r="246" spans="13:13" ht="13.9" customHeight="1" x14ac:dyDescent="0.2">
      <c r="M246" s="84"/>
    </row>
    <row r="247" spans="13:13" ht="13.9" customHeight="1" x14ac:dyDescent="0.2">
      <c r="M247" s="84"/>
    </row>
    <row r="248" spans="13:13" ht="13.9" customHeight="1" x14ac:dyDescent="0.2">
      <c r="M248" s="84"/>
    </row>
    <row r="249" spans="13:13" ht="13.9" customHeight="1" x14ac:dyDescent="0.2">
      <c r="M249" s="84"/>
    </row>
    <row r="250" spans="13:13" ht="13.9" customHeight="1" x14ac:dyDescent="0.2">
      <c r="M250" s="84"/>
    </row>
    <row r="251" spans="13:13" ht="13.9" customHeight="1" x14ac:dyDescent="0.2">
      <c r="M251" s="84"/>
    </row>
    <row r="252" spans="13:13" ht="13.9" customHeight="1" x14ac:dyDescent="0.2">
      <c r="M252" s="84"/>
    </row>
    <row r="253" spans="13:13" ht="13.9" customHeight="1" x14ac:dyDescent="0.2">
      <c r="M253" s="84"/>
    </row>
    <row r="254" spans="13:13" ht="13.9" customHeight="1" x14ac:dyDescent="0.2">
      <c r="M254" s="84"/>
    </row>
    <row r="255" spans="13:13" ht="13.9" customHeight="1" x14ac:dyDescent="0.2">
      <c r="M255" s="84"/>
    </row>
    <row r="256" spans="13:13" ht="13.9" customHeight="1" x14ac:dyDescent="0.2">
      <c r="M256" s="84"/>
    </row>
    <row r="257" spans="13:13" ht="13.9" customHeight="1" x14ac:dyDescent="0.2">
      <c r="M257" s="84"/>
    </row>
    <row r="258" spans="13:13" ht="13.9" customHeight="1" x14ac:dyDescent="0.2">
      <c r="M258" s="84"/>
    </row>
    <row r="259" spans="13:13" ht="13.9" customHeight="1" x14ac:dyDescent="0.2">
      <c r="M259" s="84"/>
    </row>
    <row r="260" spans="13:13" ht="13.9" customHeight="1" x14ac:dyDescent="0.2">
      <c r="M260" s="84"/>
    </row>
    <row r="261" spans="13:13" ht="13.9" customHeight="1" x14ac:dyDescent="0.2">
      <c r="M261" s="84"/>
    </row>
    <row r="262" spans="13:13" ht="13.9" customHeight="1" x14ac:dyDescent="0.2">
      <c r="M262" s="84"/>
    </row>
    <row r="263" spans="13:13" ht="13.9" customHeight="1" x14ac:dyDescent="0.2">
      <c r="M263" s="84"/>
    </row>
    <row r="264" spans="13:13" ht="13.9" customHeight="1" x14ac:dyDescent="0.2">
      <c r="M264" s="84"/>
    </row>
    <row r="265" spans="13:13" ht="13.9" customHeight="1" x14ac:dyDescent="0.2">
      <c r="M265" s="84"/>
    </row>
    <row r="266" spans="13:13" ht="13.9" customHeight="1" x14ac:dyDescent="0.2">
      <c r="M266" s="84"/>
    </row>
    <row r="267" spans="13:13" ht="13.9" customHeight="1" x14ac:dyDescent="0.2">
      <c r="M267" s="84"/>
    </row>
    <row r="268" spans="13:13" ht="13.9" customHeight="1" x14ac:dyDescent="0.2">
      <c r="M268" s="84"/>
    </row>
    <row r="269" spans="13:13" ht="13.9" customHeight="1" x14ac:dyDescent="0.2">
      <c r="M269" s="84"/>
    </row>
    <row r="270" spans="13:13" ht="13.9" customHeight="1" x14ac:dyDescent="0.2">
      <c r="M270" s="84"/>
    </row>
    <row r="271" spans="13:13" ht="13.9" customHeight="1" x14ac:dyDescent="0.2">
      <c r="M271" s="84"/>
    </row>
    <row r="272" spans="13:13" ht="13.9" customHeight="1" x14ac:dyDescent="0.2">
      <c r="M272" s="84"/>
    </row>
    <row r="273" spans="13:13" ht="13.9" customHeight="1" x14ac:dyDescent="0.2">
      <c r="M273" s="84"/>
    </row>
    <row r="274" spans="13:13" ht="13.9" customHeight="1" x14ac:dyDescent="0.2">
      <c r="M274" s="84"/>
    </row>
    <row r="275" spans="13:13" ht="13.9" customHeight="1" x14ac:dyDescent="0.2">
      <c r="M275" s="84"/>
    </row>
    <row r="276" spans="13:13" ht="13.9" customHeight="1" x14ac:dyDescent="0.2">
      <c r="M276" s="84"/>
    </row>
    <row r="277" spans="13:13" ht="13.9" customHeight="1" x14ac:dyDescent="0.2">
      <c r="M277" s="84"/>
    </row>
    <row r="278" spans="13:13" ht="13.9" customHeight="1" x14ac:dyDescent="0.2">
      <c r="M278" s="84"/>
    </row>
    <row r="279" spans="13:13" ht="13.9" customHeight="1" x14ac:dyDescent="0.2">
      <c r="M279" s="84"/>
    </row>
    <row r="280" spans="13:13" ht="13.9" customHeight="1" x14ac:dyDescent="0.2">
      <c r="M280" s="84"/>
    </row>
    <row r="281" spans="13:13" ht="13.9" customHeight="1" x14ac:dyDescent="0.2">
      <c r="M281" s="84"/>
    </row>
    <row r="282" spans="13:13" ht="13.9" customHeight="1" x14ac:dyDescent="0.2">
      <c r="M282" s="84"/>
    </row>
    <row r="283" spans="13:13" ht="13.9" customHeight="1" x14ac:dyDescent="0.2">
      <c r="M283" s="84"/>
    </row>
    <row r="284" spans="13:13" ht="13.9" customHeight="1" x14ac:dyDescent="0.2">
      <c r="M284" s="84"/>
    </row>
    <row r="285" spans="13:13" ht="13.9" customHeight="1" x14ac:dyDescent="0.2">
      <c r="M285" s="84"/>
    </row>
    <row r="286" spans="13:13" ht="13.9" customHeight="1" x14ac:dyDescent="0.2">
      <c r="M286" s="84"/>
    </row>
    <row r="287" spans="13:13" ht="13.9" customHeight="1" x14ac:dyDescent="0.2">
      <c r="M287" s="84"/>
    </row>
    <row r="288" spans="13:13" ht="13.9" customHeight="1" x14ac:dyDescent="0.2">
      <c r="M288" s="84"/>
    </row>
    <row r="289" spans="13:13" ht="13.9" customHeight="1" x14ac:dyDescent="0.2">
      <c r="M289" s="84"/>
    </row>
    <row r="290" spans="13:13" ht="13.9" customHeight="1" x14ac:dyDescent="0.2">
      <c r="M290" s="84"/>
    </row>
    <row r="291" spans="13:13" ht="13.9" customHeight="1" x14ac:dyDescent="0.2">
      <c r="M291" s="84"/>
    </row>
    <row r="292" spans="13:13" ht="13.9" customHeight="1" x14ac:dyDescent="0.2">
      <c r="M292" s="84"/>
    </row>
    <row r="293" spans="13:13" ht="13.9" customHeight="1" x14ac:dyDescent="0.2">
      <c r="M293" s="84"/>
    </row>
    <row r="294" spans="13:13" ht="13.9" customHeight="1" x14ac:dyDescent="0.2">
      <c r="M294" s="84"/>
    </row>
    <row r="295" spans="13:13" ht="13.9" customHeight="1" x14ac:dyDescent="0.2">
      <c r="M295" s="84"/>
    </row>
    <row r="296" spans="13:13" ht="13.9" customHeight="1" x14ac:dyDescent="0.2">
      <c r="M296" s="84"/>
    </row>
    <row r="297" spans="13:13" ht="13.9" customHeight="1" x14ac:dyDescent="0.2">
      <c r="M297" s="84"/>
    </row>
    <row r="298" spans="13:13" ht="13.9" customHeight="1" x14ac:dyDescent="0.2">
      <c r="M298" s="84"/>
    </row>
    <row r="299" spans="13:13" ht="13.9" customHeight="1" x14ac:dyDescent="0.2">
      <c r="M299" s="84"/>
    </row>
    <row r="300" spans="13:13" ht="13.9" customHeight="1" x14ac:dyDescent="0.2">
      <c r="M300" s="84"/>
    </row>
    <row r="301" spans="13:13" ht="13.9" customHeight="1" x14ac:dyDescent="0.2">
      <c r="M301" s="84"/>
    </row>
    <row r="302" spans="13:13" ht="13.9" customHeight="1" x14ac:dyDescent="0.2">
      <c r="M302" s="84"/>
    </row>
    <row r="303" spans="13:13" ht="13.9" customHeight="1" x14ac:dyDescent="0.2">
      <c r="M303" s="84"/>
    </row>
    <row r="304" spans="13:13" ht="13.9" customHeight="1" x14ac:dyDescent="0.2">
      <c r="M304" s="84"/>
    </row>
    <row r="305" spans="13:13" ht="13.9" customHeight="1" x14ac:dyDescent="0.2">
      <c r="M305" s="84"/>
    </row>
    <row r="306" spans="13:13" ht="13.9" customHeight="1" x14ac:dyDescent="0.2">
      <c r="M306" s="84"/>
    </row>
    <row r="307" spans="13:13" ht="13.9" customHeight="1" x14ac:dyDescent="0.2">
      <c r="M307" s="84"/>
    </row>
    <row r="308" spans="13:13" ht="13.9" customHeight="1" x14ac:dyDescent="0.2">
      <c r="M308" s="84"/>
    </row>
    <row r="309" spans="13:13" ht="13.9" customHeight="1" x14ac:dyDescent="0.2">
      <c r="M309" s="84"/>
    </row>
    <row r="310" spans="13:13" ht="13.9" customHeight="1" x14ac:dyDescent="0.2">
      <c r="M310" s="84"/>
    </row>
    <row r="311" spans="13:13" ht="13.9" customHeight="1" x14ac:dyDescent="0.2">
      <c r="M311" s="84"/>
    </row>
    <row r="312" spans="13:13" ht="13.9" customHeight="1" x14ac:dyDescent="0.2">
      <c r="M312" s="84"/>
    </row>
    <row r="313" spans="13:13" ht="13.9" customHeight="1" x14ac:dyDescent="0.2">
      <c r="M313" s="84"/>
    </row>
    <row r="314" spans="13:13" ht="13.9" customHeight="1" x14ac:dyDescent="0.2">
      <c r="M314" s="84"/>
    </row>
    <row r="315" spans="13:13" ht="13.9" customHeight="1" x14ac:dyDescent="0.2">
      <c r="M315" s="84"/>
    </row>
    <row r="316" spans="13:13" ht="13.9" customHeight="1" x14ac:dyDescent="0.2">
      <c r="M316" s="84"/>
    </row>
    <row r="317" spans="13:13" ht="13.9" customHeight="1" x14ac:dyDescent="0.2">
      <c r="M317" s="84"/>
    </row>
    <row r="318" spans="13:13" ht="13.9" customHeight="1" x14ac:dyDescent="0.2">
      <c r="M318" s="84"/>
    </row>
    <row r="319" spans="13:13" ht="13.9" customHeight="1" x14ac:dyDescent="0.2">
      <c r="M319" s="84"/>
    </row>
    <row r="320" spans="13:13" ht="13.9" customHeight="1" x14ac:dyDescent="0.2">
      <c r="M320" s="84"/>
    </row>
    <row r="321" spans="13:13" ht="13.9" customHeight="1" x14ac:dyDescent="0.2">
      <c r="M321" s="84"/>
    </row>
    <row r="322" spans="13:13" ht="13.9" customHeight="1" x14ac:dyDescent="0.2">
      <c r="M322" s="84"/>
    </row>
    <row r="323" spans="13:13" ht="13.9" customHeight="1" x14ac:dyDescent="0.2">
      <c r="M323" s="84"/>
    </row>
    <row r="324" spans="13:13" ht="13.9" customHeight="1" x14ac:dyDescent="0.2">
      <c r="M324" s="84"/>
    </row>
    <row r="325" spans="13:13" ht="13.9" customHeight="1" x14ac:dyDescent="0.2">
      <c r="M325" s="84"/>
    </row>
    <row r="326" spans="13:13" ht="13.9" customHeight="1" x14ac:dyDescent="0.2">
      <c r="M326" s="84"/>
    </row>
    <row r="327" spans="13:13" ht="13.9" customHeight="1" x14ac:dyDescent="0.2">
      <c r="M327" s="84"/>
    </row>
    <row r="328" spans="13:13" ht="13.9" customHeight="1" x14ac:dyDescent="0.2">
      <c r="M328" s="84"/>
    </row>
    <row r="329" spans="13:13" ht="13.9" customHeight="1" x14ac:dyDescent="0.2">
      <c r="M329" s="84"/>
    </row>
    <row r="330" spans="13:13" ht="13.9" customHeight="1" x14ac:dyDescent="0.2">
      <c r="M330" s="84"/>
    </row>
    <row r="331" spans="13:13" ht="13.9" customHeight="1" x14ac:dyDescent="0.2">
      <c r="M331" s="84"/>
    </row>
    <row r="332" spans="13:13" ht="13.9" customHeight="1" x14ac:dyDescent="0.2">
      <c r="M332" s="84"/>
    </row>
    <row r="333" spans="13:13" ht="13.9" customHeight="1" x14ac:dyDescent="0.2">
      <c r="M333" s="84"/>
    </row>
    <row r="334" spans="13:13" ht="13.9" customHeight="1" x14ac:dyDescent="0.2">
      <c r="M334" s="84"/>
    </row>
    <row r="335" spans="13:13" ht="13.9" customHeight="1" x14ac:dyDescent="0.2">
      <c r="M335" s="84"/>
    </row>
    <row r="336" spans="13:13" ht="13.9" customHeight="1" x14ac:dyDescent="0.2">
      <c r="M336" s="84"/>
    </row>
    <row r="337" spans="13:13" ht="13.9" customHeight="1" x14ac:dyDescent="0.2">
      <c r="M337" s="84"/>
    </row>
    <row r="338" spans="13:13" ht="13.9" customHeight="1" x14ac:dyDescent="0.2">
      <c r="M338" s="84"/>
    </row>
    <row r="339" spans="13:13" ht="13.9" customHeight="1" x14ac:dyDescent="0.2">
      <c r="M339" s="84"/>
    </row>
    <row r="340" spans="13:13" ht="13.9" customHeight="1" x14ac:dyDescent="0.2">
      <c r="M340" s="84"/>
    </row>
    <row r="341" spans="13:13" ht="13.9" customHeight="1" x14ac:dyDescent="0.2">
      <c r="M341" s="84"/>
    </row>
    <row r="342" spans="13:13" ht="13.9" customHeight="1" x14ac:dyDescent="0.2">
      <c r="M342" s="84"/>
    </row>
    <row r="343" spans="13:13" ht="13.9" customHeight="1" x14ac:dyDescent="0.2">
      <c r="M343" s="84"/>
    </row>
    <row r="344" spans="13:13" ht="13.9" customHeight="1" x14ac:dyDescent="0.2">
      <c r="M344" s="84"/>
    </row>
    <row r="345" spans="13:13" ht="13.9" customHeight="1" x14ac:dyDescent="0.2">
      <c r="M345" s="84"/>
    </row>
    <row r="346" spans="13:13" ht="13.9" customHeight="1" x14ac:dyDescent="0.2">
      <c r="M346" s="84"/>
    </row>
    <row r="347" spans="13:13" ht="13.9" customHeight="1" x14ac:dyDescent="0.2">
      <c r="M347" s="84"/>
    </row>
    <row r="348" spans="13:13" ht="13.9" customHeight="1" x14ac:dyDescent="0.2">
      <c r="M348" s="84"/>
    </row>
    <row r="349" spans="13:13" ht="13.9" customHeight="1" x14ac:dyDescent="0.2">
      <c r="M349" s="84"/>
    </row>
    <row r="350" spans="13:13" ht="13.9" customHeight="1" x14ac:dyDescent="0.2">
      <c r="M350" s="84"/>
    </row>
    <row r="351" spans="13:13" ht="13.9" customHeight="1" x14ac:dyDescent="0.2">
      <c r="M351" s="84"/>
    </row>
    <row r="352" spans="13:13" ht="13.9" customHeight="1" x14ac:dyDescent="0.2">
      <c r="M352" s="84"/>
    </row>
    <row r="353" spans="13:13" ht="13.9" customHeight="1" x14ac:dyDescent="0.2">
      <c r="M353" s="84"/>
    </row>
    <row r="354" spans="13:13" ht="13.9" customHeight="1" x14ac:dyDescent="0.2">
      <c r="M354" s="84"/>
    </row>
    <row r="355" spans="13:13" ht="13.9" customHeight="1" x14ac:dyDescent="0.2">
      <c r="M355" s="84"/>
    </row>
    <row r="356" spans="13:13" ht="13.9" customHeight="1" x14ac:dyDescent="0.2">
      <c r="M356" s="84"/>
    </row>
    <row r="357" spans="13:13" ht="13.9" customHeight="1" x14ac:dyDescent="0.2">
      <c r="M357" s="84"/>
    </row>
    <row r="358" spans="13:13" ht="13.9" customHeight="1" x14ac:dyDescent="0.2">
      <c r="M358" s="84"/>
    </row>
    <row r="359" spans="13:13" ht="13.9" customHeight="1" x14ac:dyDescent="0.2">
      <c r="M359" s="84"/>
    </row>
    <row r="360" spans="13:13" ht="13.9" customHeight="1" x14ac:dyDescent="0.2">
      <c r="M360" s="84"/>
    </row>
    <row r="361" spans="13:13" ht="13.9" customHeight="1" x14ac:dyDescent="0.2">
      <c r="M361" s="84"/>
    </row>
    <row r="362" spans="13:13" ht="13.9" customHeight="1" x14ac:dyDescent="0.2">
      <c r="M362" s="84"/>
    </row>
    <row r="363" spans="13:13" ht="13.9" customHeight="1" x14ac:dyDescent="0.2">
      <c r="M363" s="84"/>
    </row>
    <row r="364" spans="13:13" ht="13.9" customHeight="1" x14ac:dyDescent="0.2">
      <c r="M364" s="84"/>
    </row>
    <row r="365" spans="13:13" ht="13.9" customHeight="1" x14ac:dyDescent="0.2">
      <c r="M365" s="84"/>
    </row>
    <row r="366" spans="13:13" ht="13.9" customHeight="1" x14ac:dyDescent="0.2">
      <c r="M366" s="84"/>
    </row>
    <row r="367" spans="13:13" ht="13.9" customHeight="1" x14ac:dyDescent="0.2">
      <c r="M367" s="84"/>
    </row>
    <row r="368" spans="13:13" ht="13.9" customHeight="1" x14ac:dyDescent="0.2">
      <c r="M368" s="84"/>
    </row>
    <row r="369" spans="13:13" ht="13.9" customHeight="1" x14ac:dyDescent="0.2">
      <c r="M369" s="84"/>
    </row>
    <row r="370" spans="13:13" ht="13.9" customHeight="1" x14ac:dyDescent="0.2">
      <c r="M370" s="84"/>
    </row>
    <row r="371" spans="13:13" ht="13.9" customHeight="1" x14ac:dyDescent="0.2">
      <c r="M371" s="84"/>
    </row>
    <row r="372" spans="13:13" ht="13.9" customHeight="1" x14ac:dyDescent="0.2">
      <c r="M372" s="84"/>
    </row>
    <row r="373" spans="13:13" ht="13.9" customHeight="1" x14ac:dyDescent="0.2">
      <c r="M373" s="84"/>
    </row>
    <row r="374" spans="13:13" ht="13.9" customHeight="1" x14ac:dyDescent="0.2">
      <c r="M374" s="84"/>
    </row>
    <row r="375" spans="13:13" ht="13.9" customHeight="1" x14ac:dyDescent="0.2">
      <c r="M375" s="84"/>
    </row>
    <row r="376" spans="13:13" ht="13.9" customHeight="1" x14ac:dyDescent="0.2">
      <c r="M376" s="84"/>
    </row>
    <row r="377" spans="13:13" ht="13.9" customHeight="1" x14ac:dyDescent="0.2">
      <c r="M377" s="84"/>
    </row>
    <row r="378" spans="13:13" ht="13.9" customHeight="1" x14ac:dyDescent="0.2">
      <c r="M378" s="84"/>
    </row>
    <row r="379" spans="13:13" ht="13.9" customHeight="1" x14ac:dyDescent="0.2">
      <c r="M379" s="84"/>
    </row>
    <row r="380" spans="13:13" ht="13.9" customHeight="1" x14ac:dyDescent="0.2">
      <c r="M380" s="84"/>
    </row>
    <row r="381" spans="13:13" ht="13.9" customHeight="1" x14ac:dyDescent="0.2">
      <c r="M381" s="84"/>
    </row>
    <row r="382" spans="13:13" ht="13.9" customHeight="1" x14ac:dyDescent="0.2">
      <c r="M382" s="84"/>
    </row>
    <row r="383" spans="13:13" ht="13.9" customHeight="1" x14ac:dyDescent="0.2">
      <c r="M383" s="84"/>
    </row>
    <row r="384" spans="13:13" ht="13.9" customHeight="1" x14ac:dyDescent="0.2">
      <c r="M384" s="84"/>
    </row>
    <row r="385" spans="13:13" ht="13.9" customHeight="1" x14ac:dyDescent="0.2">
      <c r="M385" s="84"/>
    </row>
    <row r="386" spans="13:13" ht="13.9" customHeight="1" x14ac:dyDescent="0.2">
      <c r="M386" s="84"/>
    </row>
    <row r="387" spans="13:13" ht="13.9" customHeight="1" x14ac:dyDescent="0.2">
      <c r="M387" s="84"/>
    </row>
    <row r="388" spans="13:13" ht="13.9" customHeight="1" x14ac:dyDescent="0.2">
      <c r="M388" s="84"/>
    </row>
    <row r="389" spans="13:13" ht="13.9" customHeight="1" x14ac:dyDescent="0.2">
      <c r="M389" s="84"/>
    </row>
    <row r="390" spans="13:13" ht="13.9" customHeight="1" x14ac:dyDescent="0.2">
      <c r="M390" s="84"/>
    </row>
    <row r="391" spans="13:13" ht="13.9" customHeight="1" x14ac:dyDescent="0.2">
      <c r="M391" s="84"/>
    </row>
    <row r="392" spans="13:13" ht="13.9" customHeight="1" x14ac:dyDescent="0.2">
      <c r="M392" s="84"/>
    </row>
    <row r="393" spans="13:13" ht="13.9" customHeight="1" x14ac:dyDescent="0.2">
      <c r="M393" s="84"/>
    </row>
    <row r="394" spans="13:13" ht="13.9" customHeight="1" x14ac:dyDescent="0.2">
      <c r="M394" s="84"/>
    </row>
    <row r="395" spans="13:13" ht="13.9" customHeight="1" x14ac:dyDescent="0.2">
      <c r="M395" s="84"/>
    </row>
    <row r="396" spans="13:13" ht="13.9" customHeight="1" x14ac:dyDescent="0.2">
      <c r="M396" s="84"/>
    </row>
    <row r="397" spans="13:13" ht="13.9" customHeight="1" x14ac:dyDescent="0.2">
      <c r="M397" s="84"/>
    </row>
    <row r="398" spans="13:13" ht="13.9" customHeight="1" x14ac:dyDescent="0.2">
      <c r="M398" s="84"/>
    </row>
    <row r="399" spans="13:13" ht="13.9" customHeight="1" x14ac:dyDescent="0.2">
      <c r="M399" s="84"/>
    </row>
    <row r="400" spans="13:13" ht="13.9" customHeight="1" x14ac:dyDescent="0.2">
      <c r="M400" s="84"/>
    </row>
    <row r="401" spans="13:13" ht="13.9" customHeight="1" x14ac:dyDescent="0.2">
      <c r="M401" s="84"/>
    </row>
    <row r="402" spans="13:13" ht="13.9" customHeight="1" x14ac:dyDescent="0.2">
      <c r="M402" s="84"/>
    </row>
    <row r="403" spans="13:13" ht="13.9" customHeight="1" x14ac:dyDescent="0.2">
      <c r="M403" s="84"/>
    </row>
  </sheetData>
  <mergeCells count="15">
    <mergeCell ref="B127:H128"/>
    <mergeCell ref="K3:K6"/>
    <mergeCell ref="M3:M6"/>
    <mergeCell ref="P3:P6"/>
    <mergeCell ref="B3:F5"/>
    <mergeCell ref="N57:O63"/>
    <mergeCell ref="B22:M24"/>
    <mergeCell ref="B29:K31"/>
    <mergeCell ref="J11:O12"/>
    <mergeCell ref="R69:AB72"/>
    <mergeCell ref="N3:O6"/>
    <mergeCell ref="L3:L6"/>
    <mergeCell ref="B26:M27"/>
    <mergeCell ref="M32:N34"/>
    <mergeCell ref="B46:Q47"/>
  </mergeCells>
  <phoneticPr fontId="3" type="noConversion"/>
  <printOptions gridLines="1"/>
  <pageMargins left="0.5" right="0.5" top="0.52" bottom="0.75" header="0.5" footer="0.5"/>
  <pageSetup scale="90" orientation="landscape" r:id="rId1"/>
  <headerFooter alignWithMargins="0"/>
  <ignoredErrors>
    <ignoredError sqref="P38"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210"/>
  <sheetViews>
    <sheetView topLeftCell="M147" workbookViewId="0"/>
  </sheetViews>
  <sheetFormatPr defaultRowHeight="13.9" customHeight="1" x14ac:dyDescent="0.2"/>
  <cols>
    <col min="1" max="1" width="2.5703125" customWidth="1"/>
    <col min="11" max="12" width="9.28515625" customWidth="1"/>
    <col min="13" max="13" width="9.28515625" style="30" customWidth="1"/>
    <col min="14" max="15" width="9.28515625" style="84" customWidth="1"/>
    <col min="16" max="16" width="9.28515625" customWidth="1"/>
    <col min="21" max="21" width="9.5703125" bestFit="1" customWidth="1"/>
    <col min="22" max="38" width="9.42578125" customWidth="1"/>
    <col min="41" max="41" width="2.42578125" customWidth="1"/>
  </cols>
  <sheetData>
    <row r="1" spans="2:41" ht="13.9" customHeight="1" x14ac:dyDescent="0.25">
      <c r="B1" s="70" t="s">
        <v>285</v>
      </c>
      <c r="M1" s="345">
        <f>Summary!J1</f>
        <v>40823</v>
      </c>
      <c r="AO1" s="8">
        <f>ROW()</f>
        <v>1</v>
      </c>
    </row>
    <row r="2" spans="2:41" ht="13.9" customHeight="1" x14ac:dyDescent="0.2">
      <c r="B2" s="1"/>
      <c r="M2" s="84"/>
      <c r="AO2" s="8">
        <f>ROW()</f>
        <v>2</v>
      </c>
    </row>
    <row r="3" spans="2:41" ht="13.9" customHeight="1" x14ac:dyDescent="0.2">
      <c r="B3" s="390" t="s">
        <v>324</v>
      </c>
      <c r="C3" s="449"/>
      <c r="D3" s="449"/>
      <c r="E3" s="449"/>
      <c r="F3" s="449"/>
      <c r="I3" s="84"/>
      <c r="J3" s="84"/>
      <c r="K3" s="426" t="s">
        <v>137</v>
      </c>
      <c r="L3" s="424" t="s">
        <v>360</v>
      </c>
      <c r="M3" s="424" t="s">
        <v>360</v>
      </c>
      <c r="N3" s="397" t="s">
        <v>282</v>
      </c>
      <c r="O3" s="398"/>
      <c r="P3" s="393" t="s">
        <v>138</v>
      </c>
      <c r="AO3" s="8">
        <f>ROW()</f>
        <v>3</v>
      </c>
    </row>
    <row r="4" spans="2:41" ht="13.9" customHeight="1" x14ac:dyDescent="0.2">
      <c r="B4" s="449"/>
      <c r="C4" s="449"/>
      <c r="D4" s="449"/>
      <c r="E4" s="449"/>
      <c r="F4" s="449"/>
      <c r="K4" s="427"/>
      <c r="L4" s="425"/>
      <c r="M4" s="425"/>
      <c r="N4" s="399"/>
      <c r="O4" s="398"/>
      <c r="P4" s="394"/>
      <c r="AO4" s="8">
        <f>ROW()</f>
        <v>4</v>
      </c>
    </row>
    <row r="5" spans="2:41" ht="13.9" customHeight="1" x14ac:dyDescent="0.2">
      <c r="B5" s="449"/>
      <c r="C5" s="449"/>
      <c r="D5" s="449"/>
      <c r="E5" s="449"/>
      <c r="F5" s="449"/>
      <c r="I5" s="129"/>
      <c r="J5" s="129"/>
      <c r="K5" s="427"/>
      <c r="L5" s="425"/>
      <c r="M5" s="425"/>
      <c r="N5" s="399"/>
      <c r="O5" s="398"/>
      <c r="P5" s="394"/>
      <c r="AO5" s="8">
        <f>ROW()</f>
        <v>5</v>
      </c>
    </row>
    <row r="6" spans="2:41" ht="13.9" customHeight="1" x14ac:dyDescent="0.2">
      <c r="B6" s="1"/>
      <c r="I6" s="3"/>
      <c r="J6" s="3"/>
      <c r="K6" s="428"/>
      <c r="L6" s="425"/>
      <c r="M6" s="425"/>
      <c r="N6" s="399"/>
      <c r="O6" s="398"/>
      <c r="P6" s="395"/>
      <c r="AO6" s="8">
        <f>ROW()</f>
        <v>6</v>
      </c>
    </row>
    <row r="7" spans="2:41" ht="13.9" customHeight="1" x14ac:dyDescent="0.2">
      <c r="B7" s="14" t="s">
        <v>609</v>
      </c>
      <c r="I7" s="165"/>
      <c r="J7" s="131"/>
      <c r="K7" s="170">
        <v>2007</v>
      </c>
      <c r="L7" s="242">
        <v>2008</v>
      </c>
      <c r="M7" s="242">
        <v>2009</v>
      </c>
      <c r="N7" s="242">
        <v>2010</v>
      </c>
      <c r="O7" s="170">
        <v>2011</v>
      </c>
      <c r="P7" s="130">
        <f>Summary!P115</f>
        <v>2012</v>
      </c>
      <c r="Q7" s="13">
        <f t="shared" ref="Q7:AL7" si="0">P7+1</f>
        <v>2013</v>
      </c>
      <c r="R7" s="13">
        <f t="shared" si="0"/>
        <v>2014</v>
      </c>
      <c r="S7" s="13">
        <f t="shared" si="0"/>
        <v>2015</v>
      </c>
      <c r="T7" s="13">
        <f t="shared" si="0"/>
        <v>2016</v>
      </c>
      <c r="U7" s="13">
        <f t="shared" si="0"/>
        <v>2017</v>
      </c>
      <c r="V7" s="13">
        <f t="shared" si="0"/>
        <v>2018</v>
      </c>
      <c r="W7" s="13">
        <f t="shared" si="0"/>
        <v>2019</v>
      </c>
      <c r="X7" s="13">
        <f t="shared" si="0"/>
        <v>2020</v>
      </c>
      <c r="Y7" s="13">
        <f t="shared" si="0"/>
        <v>2021</v>
      </c>
      <c r="Z7" s="13">
        <f t="shared" si="0"/>
        <v>2022</v>
      </c>
      <c r="AA7" s="13">
        <f t="shared" si="0"/>
        <v>2023</v>
      </c>
      <c r="AB7" s="13">
        <f t="shared" si="0"/>
        <v>2024</v>
      </c>
      <c r="AC7" s="13">
        <f t="shared" si="0"/>
        <v>2025</v>
      </c>
      <c r="AD7" s="13">
        <f t="shared" si="0"/>
        <v>2026</v>
      </c>
      <c r="AE7" s="13">
        <f t="shared" si="0"/>
        <v>2027</v>
      </c>
      <c r="AF7" s="13">
        <f t="shared" si="0"/>
        <v>2028</v>
      </c>
      <c r="AG7" s="13">
        <f t="shared" si="0"/>
        <v>2029</v>
      </c>
      <c r="AH7" s="13">
        <f t="shared" si="0"/>
        <v>2030</v>
      </c>
      <c r="AI7" s="13">
        <f t="shared" si="0"/>
        <v>2031</v>
      </c>
      <c r="AJ7" s="13">
        <f t="shared" si="0"/>
        <v>2032</v>
      </c>
      <c r="AK7" s="13">
        <f t="shared" si="0"/>
        <v>2033</v>
      </c>
      <c r="AL7" s="13">
        <f t="shared" si="0"/>
        <v>2034</v>
      </c>
      <c r="AO7" s="8">
        <f>ROW()</f>
        <v>7</v>
      </c>
    </row>
    <row r="8" spans="2:41" ht="13.9" customHeight="1" x14ac:dyDescent="0.2">
      <c r="I8" s="63"/>
      <c r="J8" s="63"/>
      <c r="K8" s="13"/>
      <c r="L8" s="241"/>
      <c r="M8" s="241"/>
      <c r="N8" s="241"/>
      <c r="O8" s="203"/>
      <c r="P8" s="62"/>
      <c r="Q8" s="13"/>
      <c r="R8" s="13"/>
      <c r="S8" s="13"/>
      <c r="T8" s="13"/>
      <c r="U8" s="13"/>
      <c r="V8" s="13"/>
      <c r="W8" s="13"/>
      <c r="X8" s="13"/>
      <c r="Y8" s="13"/>
      <c r="Z8" s="13"/>
      <c r="AA8" s="13"/>
      <c r="AB8" s="13"/>
      <c r="AC8" s="13"/>
      <c r="AD8" s="13"/>
      <c r="AE8" s="13"/>
      <c r="AF8" s="13"/>
      <c r="AG8" s="13"/>
      <c r="AH8" s="13"/>
      <c r="AI8" s="13"/>
      <c r="AJ8" s="13"/>
      <c r="AK8" s="13"/>
      <c r="AL8" s="13"/>
      <c r="AO8" s="8">
        <f>ROW()</f>
        <v>8</v>
      </c>
    </row>
    <row r="9" spans="2:41" ht="13.9" customHeight="1" x14ac:dyDescent="0.2">
      <c r="B9" s="64" t="s">
        <v>8</v>
      </c>
      <c r="H9" s="63"/>
      <c r="I9" s="63"/>
      <c r="J9" s="63"/>
      <c r="K9" s="13"/>
      <c r="L9" s="13"/>
      <c r="M9" s="203"/>
      <c r="N9" s="203"/>
      <c r="O9" s="203"/>
      <c r="P9" s="62"/>
      <c r="Q9" s="13"/>
      <c r="R9" s="13"/>
      <c r="S9" s="13"/>
      <c r="T9" s="13"/>
      <c r="U9" s="13"/>
      <c r="AO9" s="8">
        <f>ROW()</f>
        <v>9</v>
      </c>
    </row>
    <row r="10" spans="2:41" ht="13.9" customHeight="1" x14ac:dyDescent="0.2">
      <c r="B10" s="71" t="s">
        <v>301</v>
      </c>
      <c r="M10" s="84"/>
      <c r="AO10" s="8">
        <f>ROW()</f>
        <v>10</v>
      </c>
    </row>
    <row r="11" spans="2:41" ht="13.9" customHeight="1" x14ac:dyDescent="0.2">
      <c r="B11" s="234" t="s">
        <v>439</v>
      </c>
      <c r="I11" s="274">
        <f>Summary!$J$76</f>
        <v>10</v>
      </c>
      <c r="J11" s="471" t="str">
        <f>CONCATENATE("Do not type in two boxes at left. Quantities in those boxes are inputted automatically from Cells I",Summary!$AN$76,", I",Summary!$AN$78,", I",Summary!$AN$80,", and I",Summary!$AN$85," in 'Summary' worksheet. ",)</f>
        <v xml:space="preserve">Do not type in two boxes at left. Quantities in those boxes are inputted automatically from Cells I76, I78, I80, and I85 in 'Summary' worksheet. </v>
      </c>
      <c r="K11" s="472"/>
      <c r="L11" s="472"/>
      <c r="M11" s="472"/>
      <c r="N11" s="472"/>
      <c r="O11" s="473"/>
      <c r="AO11" s="8">
        <f>ROW()</f>
        <v>11</v>
      </c>
    </row>
    <row r="12" spans="2:41" ht="13.9" customHeight="1" x14ac:dyDescent="0.2">
      <c r="B12" s="234" t="s">
        <v>438</v>
      </c>
      <c r="I12" s="274">
        <f>IF(Summary!J78=1,MAX(Summary!J80, 0.0001),Summary!J85)</f>
        <v>0.1</v>
      </c>
      <c r="J12" s="474"/>
      <c r="K12" s="475"/>
      <c r="L12" s="475"/>
      <c r="M12" s="475"/>
      <c r="N12" s="475"/>
      <c r="O12" s="476"/>
      <c r="AO12" s="8">
        <f>ROW()</f>
        <v>12</v>
      </c>
    </row>
    <row r="13" spans="2:41" ht="13.9" customHeight="1" x14ac:dyDescent="0.2">
      <c r="B13" s="110" t="str">
        <f>CONCATENATE("Note: Cell H",AO12, " is formulated as greater of (i) value entered in Summary, and (ii) 0.0001, to allow carbon tax rate to be set to zero; otherwise, zero would appear in denominator of some cells.")</f>
        <v>Note: Cell H12 is formulated as greater of (i) value entered in Summary, and (ii) 0.0001, to allow carbon tax rate to be set to zero; otherwise, zero would appear in denominator of some cells.</v>
      </c>
      <c r="H13" s="61"/>
      <c r="I13" s="61"/>
      <c r="J13" s="61"/>
      <c r="AO13" s="8">
        <f>ROW()</f>
        <v>13</v>
      </c>
    </row>
    <row r="14" spans="2:41" ht="13.9" customHeight="1" x14ac:dyDescent="0.2">
      <c r="B14" s="110"/>
      <c r="H14" s="61"/>
      <c r="I14" s="61"/>
      <c r="J14" s="61"/>
      <c r="M14" s="84"/>
      <c r="AO14" s="8">
        <f>ROW()</f>
        <v>14</v>
      </c>
    </row>
    <row r="15" spans="2:41" ht="13.9" customHeight="1" x14ac:dyDescent="0.2">
      <c r="B15" s="42" t="str">
        <f>CONCATENATE("Is year at top of column equal to or greater than tax-start year (which was inputted in Summary tab, Cell H",Summary!$AN$98, ")?")</f>
        <v>Is year at top of column equal to or greater than tax-start year (which was inputted in Summary tab, Cell H98)?</v>
      </c>
      <c r="H15" s="2"/>
      <c r="I15" s="2"/>
      <c r="J15" s="2"/>
      <c r="M15" s="57" t="str">
        <f>IF(M$7&gt;=Summary!$J98,"YES","NO")</f>
        <v>NO</v>
      </c>
      <c r="N15" s="57" t="str">
        <f>IF(N$7&gt;=Summary!$J98,"YES","NO")</f>
        <v>NO</v>
      </c>
      <c r="O15" s="57" t="str">
        <f>IF(O$7&gt;=Summary!$J98,"YES","NO")</f>
        <v>NO</v>
      </c>
      <c r="P15" s="57" t="str">
        <f>IF(P$7&gt;=Summary!$J98,"YES","NO")</f>
        <v>YES</v>
      </c>
      <c r="Q15" s="57" t="str">
        <f>IF(Q$7&gt;=Summary!$J98,"YES","NO")</f>
        <v>YES</v>
      </c>
      <c r="R15" s="57" t="str">
        <f>IF(R$7&gt;=Summary!$J98,"YES","NO")</f>
        <v>YES</v>
      </c>
      <c r="S15" s="57" t="str">
        <f>IF(S$7&gt;=Summary!$J98,"YES","NO")</f>
        <v>YES</v>
      </c>
      <c r="T15" s="57" t="str">
        <f>IF(T$7&gt;=Summary!$J98,"YES","NO")</f>
        <v>YES</v>
      </c>
      <c r="U15" s="57" t="str">
        <f>IF(U$7&gt;=Summary!$J98,"YES","NO")</f>
        <v>YES</v>
      </c>
      <c r="V15" s="57" t="str">
        <f>IF(V$7&gt;=Summary!$J98,"YES","NO")</f>
        <v>YES</v>
      </c>
      <c r="W15" s="57" t="str">
        <f>IF(W$7&gt;=Summary!$J98,"YES","NO")</f>
        <v>YES</v>
      </c>
      <c r="X15" s="57" t="str">
        <f>IF(X$7&gt;=Summary!$J98,"YES","NO")</f>
        <v>YES</v>
      </c>
      <c r="Y15" s="57" t="str">
        <f>IF(Y$7&gt;=Summary!$J98,"YES","NO")</f>
        <v>YES</v>
      </c>
      <c r="Z15" s="57" t="str">
        <f>IF(Z$7&gt;=Summary!$J98,"YES","NO")</f>
        <v>YES</v>
      </c>
      <c r="AA15" s="57" t="str">
        <f>IF(AA$7&gt;=Summary!$J98,"YES","NO")</f>
        <v>YES</v>
      </c>
      <c r="AB15" s="57" t="str">
        <f>IF(AB$7&gt;=Summary!$J98,"YES","NO")</f>
        <v>YES</v>
      </c>
      <c r="AC15" s="57" t="str">
        <f>IF(AC$7&gt;=Summary!$J98,"YES","NO")</f>
        <v>YES</v>
      </c>
      <c r="AD15" s="57" t="str">
        <f>IF(AD$7&gt;=Summary!$J98,"YES","NO")</f>
        <v>YES</v>
      </c>
      <c r="AE15" s="57" t="str">
        <f>IF(AE$7&gt;=Summary!$J98,"YES","NO")</f>
        <v>YES</v>
      </c>
      <c r="AF15" s="57" t="str">
        <f>IF(AF$7&gt;=Summary!$J98,"YES","NO")</f>
        <v>YES</v>
      </c>
      <c r="AG15" s="57" t="str">
        <f>IF(AG$7&gt;=Summary!$J98,"YES","NO")</f>
        <v>YES</v>
      </c>
      <c r="AH15" s="57" t="str">
        <f>IF(AH$7&gt;=Summary!$J98,"YES","NO")</f>
        <v>YES</v>
      </c>
      <c r="AI15" s="57" t="str">
        <f>IF(AI$7&gt;=Summary!$J98,"YES","NO")</f>
        <v>YES</v>
      </c>
      <c r="AJ15" s="57" t="str">
        <f>IF(AJ$7&gt;=Summary!$J98,"YES","NO")</f>
        <v>YES</v>
      </c>
      <c r="AK15" s="57" t="str">
        <f>IF(AK$7&gt;=Summary!$J98,"YES","NO")</f>
        <v>YES</v>
      </c>
      <c r="AL15" s="57" t="str">
        <f>IF(AL$7&gt;=Summary!$J98,"YES","NO")</f>
        <v>YES</v>
      </c>
      <c r="AO15" s="8">
        <f>ROW()</f>
        <v>15</v>
      </c>
    </row>
    <row r="16" spans="2:41" ht="13.9" customHeight="1" x14ac:dyDescent="0.2">
      <c r="B16" s="42" t="str">
        <f>CONCATENATE("Is year at top of column equal to or greater than final tax year (which was inputted in Summary tab, Cell H",Summary!$AN$110, ")?")</f>
        <v>Is year at top of column equal to or greater than final tax year (which was inputted in Summary tab, Cell H110)?</v>
      </c>
      <c r="H16" s="2"/>
      <c r="I16" s="2"/>
      <c r="J16" s="2"/>
      <c r="M16" s="57" t="str">
        <f>IF(M$7&gt;Summary!$J99,"YES","NO")</f>
        <v>NO</v>
      </c>
      <c r="N16" s="57" t="str">
        <f>IF(N$7&gt;Summary!$J99,"YES","NO")</f>
        <v>NO</v>
      </c>
      <c r="O16" s="57" t="str">
        <f>IF(O$7&gt;Summary!$J99,"YES","NO")</f>
        <v>NO</v>
      </c>
      <c r="P16" s="57" t="str">
        <f>IF(P$7&gt;Summary!$J99,"YES","NO")</f>
        <v>NO</v>
      </c>
      <c r="Q16" s="57" t="str">
        <f>IF(Q$7&gt;Summary!$J99,"YES","NO")</f>
        <v>NO</v>
      </c>
      <c r="R16" s="57" t="str">
        <f>IF(R$7&gt;Summary!$J99,"YES","NO")</f>
        <v>NO</v>
      </c>
      <c r="S16" s="57" t="str">
        <f>IF(S$7&gt;Summary!$J99,"YES","NO")</f>
        <v>NO</v>
      </c>
      <c r="T16" s="57" t="str">
        <f>IF(T$7&gt;Summary!$J99,"YES","NO")</f>
        <v>NO</v>
      </c>
      <c r="U16" s="57" t="str">
        <f>IF(U$7&gt;Summary!$J99,"YES","NO")</f>
        <v>NO</v>
      </c>
      <c r="V16" s="57" t="str">
        <f>IF(V$7&gt;Summary!$J99,"YES","NO")</f>
        <v>NO</v>
      </c>
      <c r="W16" s="57" t="str">
        <f>IF(W$7&gt;Summary!$J99,"YES","NO")</f>
        <v>NO</v>
      </c>
      <c r="X16" s="57" t="str">
        <f>IF(X$7&gt;Summary!$J99,"YES","NO")</f>
        <v>NO</v>
      </c>
      <c r="Y16" s="57" t="str">
        <f>IF(Y$7&gt;Summary!$J99,"YES","NO")</f>
        <v>NO</v>
      </c>
      <c r="Z16" s="57" t="str">
        <f>IF(Z$7&gt;Summary!$J99,"YES","NO")</f>
        <v>NO</v>
      </c>
      <c r="AA16" s="57" t="str">
        <f>IF(AA$7&gt;Summary!$J99,"YES","NO")</f>
        <v>NO</v>
      </c>
      <c r="AB16" s="57" t="str">
        <f>IF(AB$7&gt;Summary!$J99,"YES","NO")</f>
        <v>NO</v>
      </c>
      <c r="AC16" s="57" t="str">
        <f>IF(AC$7&gt;Summary!$J99,"YES","NO")</f>
        <v>NO</v>
      </c>
      <c r="AD16" s="57" t="str">
        <f>IF(AD$7&gt;Summary!$J99,"YES","NO")</f>
        <v>NO</v>
      </c>
      <c r="AE16" s="57" t="str">
        <f>IF(AE$7&gt;Summary!$J99,"YES","NO")</f>
        <v>YES</v>
      </c>
      <c r="AF16" s="57" t="str">
        <f>IF(AF$7&gt;Summary!$J99,"YES","NO")</f>
        <v>YES</v>
      </c>
      <c r="AG16" s="57" t="str">
        <f>IF(AG$7&gt;Summary!$J99,"YES","NO")</f>
        <v>YES</v>
      </c>
      <c r="AH16" s="57" t="str">
        <f>IF(AH$7&gt;Summary!$J99,"YES","NO")</f>
        <v>YES</v>
      </c>
      <c r="AI16" s="57" t="str">
        <f>IF(AI$7&gt;Summary!$J99,"YES","NO")</f>
        <v>YES</v>
      </c>
      <c r="AJ16" s="57" t="str">
        <f>IF(AJ$7&gt;Summary!$J99,"YES","NO")</f>
        <v>YES</v>
      </c>
      <c r="AK16" s="57" t="str">
        <f>IF(AK$7&gt;Summary!$J99,"YES","NO")</f>
        <v>YES</v>
      </c>
      <c r="AL16" s="57" t="str">
        <f>IF(AL$7&gt;Summary!$J99,"YES","NO")</f>
        <v>YES</v>
      </c>
      <c r="AO16" s="8">
        <f>ROW()</f>
        <v>16</v>
      </c>
    </row>
    <row r="17" spans="1:41" ht="13.9" customHeight="1" x14ac:dyDescent="0.2">
      <c r="B17" s="42" t="s">
        <v>441</v>
      </c>
      <c r="M17">
        <f t="shared" ref="M17:AL17" si="1">IF(M15="NO",0,(IF(AND(M15="YES",M16="NO"),L17+1,L17)))</f>
        <v>0</v>
      </c>
      <c r="N17">
        <f t="shared" si="1"/>
        <v>0</v>
      </c>
      <c r="O17">
        <f t="shared" si="1"/>
        <v>0</v>
      </c>
      <c r="P17">
        <f t="shared" si="1"/>
        <v>1</v>
      </c>
      <c r="Q17">
        <f t="shared" si="1"/>
        <v>2</v>
      </c>
      <c r="R17">
        <f t="shared" si="1"/>
        <v>3</v>
      </c>
      <c r="S17">
        <f t="shared" si="1"/>
        <v>4</v>
      </c>
      <c r="T17">
        <f t="shared" si="1"/>
        <v>5</v>
      </c>
      <c r="U17">
        <f t="shared" si="1"/>
        <v>6</v>
      </c>
      <c r="V17">
        <f t="shared" si="1"/>
        <v>7</v>
      </c>
      <c r="W17">
        <f t="shared" si="1"/>
        <v>8</v>
      </c>
      <c r="X17">
        <f t="shared" si="1"/>
        <v>9</v>
      </c>
      <c r="Y17">
        <f t="shared" si="1"/>
        <v>10</v>
      </c>
      <c r="Z17">
        <f t="shared" si="1"/>
        <v>11</v>
      </c>
      <c r="AA17">
        <f t="shared" si="1"/>
        <v>12</v>
      </c>
      <c r="AB17">
        <f t="shared" si="1"/>
        <v>13</v>
      </c>
      <c r="AC17">
        <f t="shared" si="1"/>
        <v>14</v>
      </c>
      <c r="AD17">
        <f t="shared" si="1"/>
        <v>15</v>
      </c>
      <c r="AE17">
        <f t="shared" si="1"/>
        <v>15</v>
      </c>
      <c r="AF17">
        <f t="shared" si="1"/>
        <v>15</v>
      </c>
      <c r="AG17">
        <f t="shared" si="1"/>
        <v>15</v>
      </c>
      <c r="AH17">
        <f t="shared" si="1"/>
        <v>15</v>
      </c>
      <c r="AI17">
        <f t="shared" si="1"/>
        <v>15</v>
      </c>
      <c r="AJ17">
        <f t="shared" si="1"/>
        <v>15</v>
      </c>
      <c r="AK17">
        <f t="shared" si="1"/>
        <v>15</v>
      </c>
      <c r="AL17">
        <f t="shared" si="1"/>
        <v>15</v>
      </c>
      <c r="AO17" s="8">
        <f>ROW()</f>
        <v>17</v>
      </c>
    </row>
    <row r="18" spans="1:41" s="74" customFormat="1" ht="13.9" customHeight="1" x14ac:dyDescent="0.2">
      <c r="A18"/>
      <c r="B18" t="s">
        <v>36</v>
      </c>
      <c r="C18"/>
      <c r="D18"/>
      <c r="E18"/>
      <c r="F18"/>
      <c r="G18"/>
      <c r="H18" s="2"/>
      <c r="I18" s="2"/>
      <c r="J18" s="2"/>
      <c r="K18"/>
      <c r="L18"/>
      <c r="M18" s="91">
        <f>IF(Summary!$J78=1,MAX(0,$I$11*MIN(1,M17)+$I$12*(M17-1)),IF(M17=0,0,($I$11*(1+$I$12)^(M17-1))))</f>
        <v>0</v>
      </c>
      <c r="N18" s="91">
        <f>IF(Summary!$J78=1,MAX(0,$I$11*MIN(1,N17)+$I$12*(N17-1)),IF(N17=0,0,($I$11*(1+$I$12)^(N17-1))))</f>
        <v>0</v>
      </c>
      <c r="O18" s="91">
        <f>IF(Summary!$J78=1,MAX(0,$I$11*MIN(1,O17)+$I$12*(O17-1)),IF(O17=0,0,($I$11*(1+$I$12)^(O17-1))))</f>
        <v>0</v>
      </c>
      <c r="P18" s="91">
        <f>IF(Summary!$J78=1,MAX(0,$I$11*MIN(1,P17)+$I$12*(P17-1)),IF(P17=0,0,($I$11*(1+$I$12)^(P17-1))))</f>
        <v>10</v>
      </c>
      <c r="Q18" s="91">
        <f>IF(Summary!$J78=1,MAX(0,$I$11*MIN(1,Q17)+$I$12*(Q17-1)),IF(Q17=0,0,($I$11*(1+$I$12)^(Q17-1))))</f>
        <v>11</v>
      </c>
      <c r="R18" s="91">
        <f>IF(Summary!$J78=1,MAX(0,$I$11*MIN(1,R17)+$I$12*(R17-1)),IF(R17=0,0,($I$11*(1+$I$12)^(R17-1))))</f>
        <v>12.100000000000001</v>
      </c>
      <c r="S18" s="91">
        <f>IF(Summary!$J78=1,MAX(0,$I$11*MIN(1,S17)+$I$12*(S17-1)),IF(S17=0,0,($I$11*(1+$I$12)^(S17-1))))</f>
        <v>13.310000000000004</v>
      </c>
      <c r="T18" s="91">
        <f>IF(Summary!$J78=1,MAX(0,$I$11*MIN(1,T17)+$I$12*(T17-1)),IF(T17=0,0,($I$11*(1+$I$12)^(T17-1))))</f>
        <v>14.641000000000004</v>
      </c>
      <c r="U18" s="91">
        <f>IF(Summary!$J78=1,MAX(0,$I$11*MIN(1,U17)+$I$12*(U17-1)),IF(U17=0,0,($I$11*(1+$I$12)^(U17-1))))</f>
        <v>16.105100000000007</v>
      </c>
      <c r="V18" s="91">
        <f>IF(Summary!$J78=1,MAX(0,$I$11*MIN(1,V17)+$I$12*(V17-1)),IF(V17=0,0,($I$11*(1+$I$12)^(V17-1))))</f>
        <v>17.715610000000009</v>
      </c>
      <c r="W18" s="91">
        <f>IF(Summary!$J78=1,MAX(0,$I$11*MIN(1,W17)+$I$12*(W17-1)),IF(W17=0,0,($I$11*(1+$I$12)^(W17-1))))</f>
        <v>19.487171000000011</v>
      </c>
      <c r="X18" s="91">
        <f>IF(Summary!$J78=1,MAX(0,$I$11*MIN(1,X17)+$I$12*(X17-1)),IF(X17=0,0,($I$11*(1+$I$12)^(X17-1))))</f>
        <v>21.43588810000001</v>
      </c>
      <c r="Y18" s="91">
        <f>IF(Summary!$J78=1,MAX(0,$I$11*MIN(1,Y17)+$I$12*(Y17-1)),IF(Y17=0,0,($I$11*(1+$I$12)^(Y17-1))))</f>
        <v>23.579476910000015</v>
      </c>
      <c r="Z18" s="91">
        <f>IF(Summary!$J78=1,MAX(0,$I$11*MIN(1,Z17)+$I$12*(Z17-1)),IF(Z17=0,0,($I$11*(1+$I$12)^(Z17-1))))</f>
        <v>25.937424601000018</v>
      </c>
      <c r="AA18" s="91">
        <f>IF(Summary!$J78=1,MAX(0,$I$11*MIN(1,AA17)+$I$12*(AA17-1)),IF(AA17=0,0,($I$11*(1+$I$12)^(AA17-1))))</f>
        <v>28.531167061100025</v>
      </c>
      <c r="AB18" s="91">
        <f>IF(Summary!$J78=1,MAX(0,$I$11*MIN(1,AB17)+$I$12*(AB17-1)),IF(AB17=0,0,($I$11*(1+$I$12)^(AB17-1))))</f>
        <v>31.384283767210025</v>
      </c>
      <c r="AC18" s="91">
        <f>IF(Summary!$J78=1,MAX(0,$I$11*MIN(1,AC17)+$I$12*(AC17-1)),IF(AC17=0,0,($I$11*(1+$I$12)^(AC17-1))))</f>
        <v>34.522712143931031</v>
      </c>
      <c r="AD18" s="91">
        <f>IF(Summary!$J78=1,MAX(0,$I$11*MIN(1,AD17)+$I$12*(AD17-1)),IF(AD17=0,0,($I$11*(1+$I$12)^(AD17-1))))</f>
        <v>37.974983358324138</v>
      </c>
      <c r="AE18" s="91">
        <f>IF(Summary!$J78=1,MAX(0,$I$11*MIN(1,AE17)+$I$12*(AE17-1)),IF(AE17=0,0,($I$11*(1+$I$12)^(AE17-1))))</f>
        <v>37.974983358324138</v>
      </c>
      <c r="AF18" s="91">
        <f>IF(Summary!$J78=1,MAX(0,$I$11*MIN(1,AF17)+$I$12*(AF17-1)),IF(AF17=0,0,($I$11*(1+$I$12)^(AF17-1))))</f>
        <v>37.974983358324138</v>
      </c>
      <c r="AG18" s="91">
        <f>IF(Summary!$J78=1,MAX(0,$I$11*MIN(1,AG17)+$I$12*(AG17-1)),IF(AG17=0,0,($I$11*(1+$I$12)^(AG17-1))))</f>
        <v>37.974983358324138</v>
      </c>
      <c r="AH18" s="91">
        <f>IF(Summary!$J78=1,MAX(0,$I$11*MIN(1,AH17)+$I$12*(AH17-1)),IF(AH17=0,0,($I$11*(1+$I$12)^(AH17-1))))</f>
        <v>37.974983358324138</v>
      </c>
      <c r="AI18" s="91">
        <f>IF(Summary!$J78=1,MAX(0,$I$11*MIN(1,AI17)+$I$12*(AI17-1)),IF(AI17=0,0,($I$11*(1+$I$12)^(AI17-1))))</f>
        <v>37.974983358324138</v>
      </c>
      <c r="AJ18" s="91">
        <f>IF(Summary!$J78=1,MAX(0,$I$11*MIN(1,AJ17)+$I$12*(AJ17-1)),IF(AJ17=0,0,($I$11*(1+$I$12)^(AJ17-1))))</f>
        <v>37.974983358324138</v>
      </c>
      <c r="AK18" s="91">
        <f>IF(Summary!$J78=1,MAX(0,$I$11*MIN(1,AK17)+$I$12*(AK17-1)),IF(AK17=0,0,($I$11*(1+$I$12)^(AK17-1))))</f>
        <v>37.974983358324138</v>
      </c>
      <c r="AL18" s="91">
        <f>IF(Summary!$J78=1,MAX(0,$I$11*MIN(1,AL17)+$I$12*(AL17-1)),IF(AL17=0,0,($I$11*(1+$I$12)^(AL17-1))))</f>
        <v>37.974983358324138</v>
      </c>
      <c r="AM18" s="207"/>
      <c r="AO18" s="8">
        <f>ROW()</f>
        <v>18</v>
      </c>
    </row>
    <row r="19" spans="1:41" ht="13.9" customHeight="1" x14ac:dyDescent="0.2">
      <c r="A19" s="74"/>
      <c r="B19" s="74" t="s">
        <v>183</v>
      </c>
      <c r="C19" s="74"/>
      <c r="D19" s="74"/>
      <c r="E19" s="74"/>
      <c r="F19" s="74"/>
      <c r="G19" s="74"/>
      <c r="H19" s="75"/>
      <c r="I19" s="75"/>
      <c r="J19" s="75"/>
      <c r="K19" s="74"/>
      <c r="L19" s="74"/>
      <c r="M19" s="76">
        <f>M18*Parameters!$J$15/2000</f>
        <v>0</v>
      </c>
      <c r="N19" s="76">
        <f>N18*Parameters!$J$15/2000</f>
        <v>0</v>
      </c>
      <c r="O19" s="76">
        <f>O18*Parameters!$J$15/2000</f>
        <v>0</v>
      </c>
      <c r="P19" s="76">
        <f>P18*Parameters!$J$15/2000</f>
        <v>11.025</v>
      </c>
      <c r="Q19" s="76">
        <f>Q18*Parameters!$J$15/2000</f>
        <v>12.1275</v>
      </c>
      <c r="R19" s="76">
        <f>R18*Parameters!$J$15/2000</f>
        <v>13.340250000000001</v>
      </c>
      <c r="S19" s="76">
        <f>S18*Parameters!$J$15/2000</f>
        <v>14.674275000000005</v>
      </c>
      <c r="T19" s="76">
        <f>T18*Parameters!$J$15/2000</f>
        <v>16.141702500000005</v>
      </c>
      <c r="U19" s="76">
        <f>U18*Parameters!$J$15/2000</f>
        <v>17.755872750000009</v>
      </c>
      <c r="V19" s="76">
        <f>V18*Parameters!$J$15/2000</f>
        <v>19.531460025000012</v>
      </c>
      <c r="W19" s="76">
        <f>W18*Parameters!$J$15/2000</f>
        <v>21.484606027500014</v>
      </c>
      <c r="X19" s="76">
        <f>X18*Parameters!$J$15/2000</f>
        <v>23.63306663025001</v>
      </c>
      <c r="Y19" s="76">
        <f>Y18*Parameters!$J$15/2000</f>
        <v>25.996373293275017</v>
      </c>
      <c r="Z19" s="76">
        <f>Z18*Parameters!$J$15/2000</f>
        <v>28.59601062260252</v>
      </c>
      <c r="AA19" s="76">
        <f>AA18*Parameters!$J$15/2000</f>
        <v>31.455611684862774</v>
      </c>
      <c r="AB19" s="76">
        <f>AB18*Parameters!$J$15/2000</f>
        <v>34.601172853349055</v>
      </c>
      <c r="AC19" s="76">
        <f>AC18*Parameters!$J$15/2000</f>
        <v>38.061290138683958</v>
      </c>
      <c r="AD19" s="76">
        <f>AD18*Parameters!$J$15/2000</f>
        <v>41.867419152552365</v>
      </c>
      <c r="AE19" s="76">
        <f>AE18*Parameters!$J$15/2000</f>
        <v>41.867419152552365</v>
      </c>
      <c r="AF19" s="76">
        <f>AF18*Parameters!$J$15/2000</f>
        <v>41.867419152552365</v>
      </c>
      <c r="AG19" s="76">
        <f>AG18*Parameters!$J$15/2000</f>
        <v>41.867419152552365</v>
      </c>
      <c r="AH19" s="76">
        <f>AH18*Parameters!$J$15/2000</f>
        <v>41.867419152552365</v>
      </c>
      <c r="AI19" s="76">
        <f>AI18*Parameters!$J$15/2000</f>
        <v>41.867419152552365</v>
      </c>
      <c r="AJ19" s="76">
        <f>AJ18*Parameters!$J$15/2000</f>
        <v>41.867419152552365</v>
      </c>
      <c r="AK19" s="76">
        <f>AK18*Parameters!$J$15/2000</f>
        <v>41.867419152552365</v>
      </c>
      <c r="AL19" s="76">
        <f>AL18*Parameters!$J$15/2000</f>
        <v>41.867419152552365</v>
      </c>
      <c r="AM19" s="84"/>
      <c r="AO19" s="8">
        <f>ROW()</f>
        <v>19</v>
      </c>
    </row>
    <row r="20" spans="1:41" ht="13.9" customHeight="1" x14ac:dyDescent="0.2">
      <c r="M20" s="84"/>
      <c r="P20" s="84"/>
      <c r="Q20" s="84"/>
      <c r="R20" s="84"/>
      <c r="S20" s="84"/>
      <c r="T20" s="84"/>
      <c r="U20" s="84"/>
      <c r="V20" s="84"/>
      <c r="W20" s="84"/>
      <c r="X20" s="84"/>
      <c r="Y20" s="84"/>
      <c r="Z20" s="84"/>
      <c r="AA20" s="84"/>
      <c r="AB20" s="84"/>
      <c r="AC20" s="84"/>
      <c r="AD20" s="84"/>
      <c r="AE20" s="84"/>
      <c r="AF20" s="84"/>
      <c r="AG20" s="84"/>
      <c r="AH20" s="84"/>
      <c r="AI20" s="84"/>
      <c r="AJ20" s="84"/>
      <c r="AK20" s="84"/>
      <c r="AL20" s="84"/>
      <c r="AM20" s="84"/>
      <c r="AO20" s="8">
        <f>ROW()</f>
        <v>20</v>
      </c>
    </row>
    <row r="21" spans="1:41" ht="13.9" customHeight="1" x14ac:dyDescent="0.2">
      <c r="B21" t="s">
        <v>199</v>
      </c>
      <c r="E21" s="110" t="s">
        <v>198</v>
      </c>
      <c r="K21">
        <v>5.2530000000000001</v>
      </c>
      <c r="M21" s="84"/>
      <c r="P21" s="84"/>
      <c r="V21" s="84"/>
      <c r="W21" s="84"/>
      <c r="X21" s="84"/>
      <c r="Y21" s="84"/>
      <c r="Z21" s="84"/>
      <c r="AA21" s="84"/>
      <c r="AB21" s="84"/>
      <c r="AC21" s="84"/>
      <c r="AD21" s="84"/>
      <c r="AE21" s="84"/>
      <c r="AF21" s="84"/>
      <c r="AG21" s="84"/>
      <c r="AH21" s="84"/>
      <c r="AI21" s="84"/>
      <c r="AJ21" s="84"/>
      <c r="AK21" s="84"/>
      <c r="AL21" s="84"/>
      <c r="AM21" s="84"/>
      <c r="AO21" s="8">
        <f>ROW()</f>
        <v>21</v>
      </c>
    </row>
    <row r="22" spans="1:41" ht="13.9" customHeight="1" x14ac:dyDescent="0.2">
      <c r="B22" t="s">
        <v>200</v>
      </c>
      <c r="K22" s="24">
        <f>K21*1000000/Parameters!$J$18</f>
        <v>125071.42857142857</v>
      </c>
      <c r="M22" s="84"/>
      <c r="P22" s="84"/>
      <c r="V22" s="84"/>
      <c r="W22" s="84"/>
      <c r="X22" s="84"/>
      <c r="Y22" s="84"/>
      <c r="Z22" s="84"/>
      <c r="AA22" s="84"/>
      <c r="AB22" s="84"/>
      <c r="AC22" s="84"/>
      <c r="AD22" s="84"/>
      <c r="AE22" s="84"/>
      <c r="AF22" s="84"/>
      <c r="AG22" s="84"/>
      <c r="AH22" s="84"/>
      <c r="AI22" s="84"/>
      <c r="AJ22" s="84"/>
      <c r="AK22" s="84"/>
      <c r="AL22" s="84"/>
      <c r="AM22" s="84"/>
      <c r="AO22" s="8">
        <f>ROW()</f>
        <v>22</v>
      </c>
    </row>
    <row r="23" spans="1:41" ht="13.9" customHeight="1" x14ac:dyDescent="0.2">
      <c r="B23" s="9" t="s">
        <v>201</v>
      </c>
      <c r="K23" s="32">
        <f>Emissions!J182/Parameters!J17</f>
        <v>5.3373913674958864</v>
      </c>
      <c r="L23" s="24"/>
      <c r="M23" s="84"/>
      <c r="P23" s="84"/>
      <c r="V23" s="84"/>
      <c r="W23" s="84"/>
      <c r="X23" s="84"/>
      <c r="Y23" s="84"/>
      <c r="Z23" s="84"/>
      <c r="AA23" s="84"/>
      <c r="AB23" s="84"/>
      <c r="AC23" s="84"/>
      <c r="AD23" s="84"/>
      <c r="AE23" s="84"/>
      <c r="AF23" s="84"/>
      <c r="AG23" s="84"/>
      <c r="AH23" s="84"/>
      <c r="AI23" s="84"/>
      <c r="AJ23" s="84"/>
      <c r="AK23" s="84"/>
      <c r="AL23" s="84"/>
      <c r="AM23" s="84"/>
      <c r="AO23" s="8">
        <f>ROW()</f>
        <v>23</v>
      </c>
    </row>
    <row r="24" spans="1:41" ht="13.9" customHeight="1" x14ac:dyDescent="0.2">
      <c r="B24" s="172" t="s">
        <v>389</v>
      </c>
      <c r="K24" s="8">
        <f>K23*1000000/K22</f>
        <v>42.674745371183555</v>
      </c>
      <c r="L24" s="32"/>
      <c r="M24" s="84"/>
      <c r="P24" s="84"/>
      <c r="V24" s="84"/>
      <c r="W24" s="84"/>
      <c r="X24" s="84"/>
      <c r="Y24" s="84"/>
      <c r="Z24" s="84"/>
      <c r="AA24" s="84"/>
      <c r="AB24" s="84"/>
      <c r="AC24" s="84"/>
      <c r="AD24" s="84"/>
      <c r="AE24" s="84"/>
      <c r="AF24" s="84"/>
      <c r="AG24" s="84"/>
      <c r="AH24" s="84"/>
      <c r="AI24" s="84"/>
      <c r="AJ24" s="84"/>
      <c r="AK24" s="84"/>
      <c r="AL24" s="84"/>
      <c r="AM24" s="84"/>
      <c r="AO24" s="8">
        <f>ROW()</f>
        <v>24</v>
      </c>
    </row>
    <row r="25" spans="1:41" ht="13.9" customHeight="1" x14ac:dyDescent="0.2">
      <c r="B25" s="9" t="s">
        <v>202</v>
      </c>
      <c r="K25" s="256">
        <f>K23*Parameters!$J$14</f>
        <v>19.570435014151581</v>
      </c>
      <c r="L25" s="22"/>
      <c r="M25" s="84"/>
      <c r="P25" s="155"/>
      <c r="Q25" s="204"/>
      <c r="R25" s="204"/>
      <c r="S25" s="204"/>
      <c r="T25" s="204"/>
      <c r="U25" s="204"/>
      <c r="V25" s="204"/>
      <c r="W25" s="204"/>
      <c r="X25" s="204"/>
      <c r="Y25" s="204"/>
      <c r="Z25" s="204"/>
      <c r="AA25" s="204"/>
      <c r="AB25" s="204"/>
      <c r="AC25" s="204"/>
      <c r="AD25" s="204"/>
      <c r="AE25" s="204"/>
      <c r="AF25" s="204"/>
      <c r="AG25" s="204"/>
      <c r="AH25" s="204"/>
      <c r="AI25" s="204"/>
      <c r="AJ25" s="204"/>
      <c r="AK25" s="204"/>
      <c r="AL25" s="204"/>
      <c r="AM25" s="84"/>
      <c r="AO25" s="8">
        <f>ROW()</f>
        <v>25</v>
      </c>
    </row>
    <row r="26" spans="1:41" ht="13.9" customHeight="1" x14ac:dyDescent="0.2">
      <c r="I26" s="22"/>
      <c r="J26" s="22"/>
      <c r="K26" s="32"/>
      <c r="L26" s="32"/>
      <c r="M26" s="84"/>
      <c r="P26" s="155"/>
      <c r="Q26" s="204"/>
      <c r="R26" s="204"/>
      <c r="S26" s="204"/>
      <c r="T26" s="204"/>
      <c r="U26" s="204"/>
      <c r="V26" s="204"/>
      <c r="W26" s="204"/>
      <c r="X26" s="204"/>
      <c r="Y26" s="204"/>
      <c r="Z26" s="204"/>
      <c r="AA26" s="204"/>
      <c r="AB26" s="204"/>
      <c r="AC26" s="204"/>
      <c r="AD26" s="204"/>
      <c r="AE26" s="204"/>
      <c r="AF26" s="204"/>
      <c r="AG26" s="204"/>
      <c r="AH26" s="204"/>
      <c r="AI26" s="204"/>
      <c r="AJ26" s="204"/>
      <c r="AK26" s="204"/>
      <c r="AL26" s="204"/>
      <c r="AM26" s="84"/>
      <c r="AO26" s="8">
        <f>ROW()</f>
        <v>26</v>
      </c>
    </row>
    <row r="27" spans="1:41" ht="13.9" customHeight="1" x14ac:dyDescent="0.2">
      <c r="I27" s="22"/>
      <c r="J27" s="22"/>
      <c r="K27" s="32"/>
      <c r="L27" s="32"/>
      <c r="M27" s="84"/>
      <c r="P27" s="155"/>
      <c r="Q27" s="204"/>
      <c r="R27" s="204"/>
      <c r="S27" s="204"/>
      <c r="T27" s="204"/>
      <c r="U27" s="204"/>
      <c r="V27" s="204"/>
      <c r="W27" s="204"/>
      <c r="X27" s="204"/>
      <c r="Y27" s="204"/>
      <c r="Z27" s="204"/>
      <c r="AA27" s="204"/>
      <c r="AB27" s="204"/>
      <c r="AC27" s="204"/>
      <c r="AD27" s="204"/>
      <c r="AE27" s="204"/>
      <c r="AF27" s="204"/>
      <c r="AG27" s="204"/>
      <c r="AH27" s="204"/>
      <c r="AI27" s="204"/>
      <c r="AJ27" s="204"/>
      <c r="AK27" s="204"/>
      <c r="AL27" s="204"/>
      <c r="AM27" s="84"/>
      <c r="AO27" s="8">
        <f>ROW()</f>
        <v>27</v>
      </c>
    </row>
    <row r="28" spans="1:41" ht="13.9" customHeight="1" x14ac:dyDescent="0.2">
      <c r="B28" s="234" t="s">
        <v>546</v>
      </c>
      <c r="J28" s="299">
        <f>Summary!J89*IF(Summary!C95="YES",1,0)</f>
        <v>6</v>
      </c>
      <c r="K28" s="300" t="s">
        <v>7</v>
      </c>
      <c r="M28" s="94">
        <f>IF(Summary!$J78=1,MAX(0,$J$28*MIN(1,M17)+$J$29*(M17-1)),IF(M17=0,0,($J$28*(1+$J$29/100)^(M17-1))))</f>
        <v>0</v>
      </c>
      <c r="N28" s="94">
        <f>IF(Summary!$J78=1,MAX(0,$J$28*MIN(1,N17)+$J$29*(N17-1)),IF(N17=0,0,($J$28*(1+$J$29/100)^(N17-1))))</f>
        <v>0</v>
      </c>
      <c r="O28" s="94">
        <f>IF(Summary!$J78=1,MAX(0,$J$28*MIN(1,O17)+$J$29*(O17-1)),IF(O17=0,0,($J$28*(1+$J$29/100)^(O17-1))))</f>
        <v>0</v>
      </c>
      <c r="P28" s="94">
        <f>IF(Summary!$J78=1,MAX(0,$J$28*MIN(1,P17)+$J$29*(P17-1)),IF(P17=0,0,($J$28*(1+$J$29/100)^(P17-1))))</f>
        <v>6</v>
      </c>
      <c r="Q28" s="94">
        <f>IF(Summary!$J78=1,MAX(0,$J$28*MIN(1,Q17)+$J$29*(Q17-1)),IF(Q17=0,0,($J$28*(1+$J$29/100)^(Q17-1))))</f>
        <v>6.6000000000000005</v>
      </c>
      <c r="R28" s="94">
        <f>IF(Summary!$J78=1,MAX(0,$J$28*MIN(1,R17)+$J$29*(R17-1)),IF(R17=0,0,($J$28*(1+$J$29/100)^(R17-1))))</f>
        <v>7.2600000000000016</v>
      </c>
      <c r="S28" s="94">
        <f>IF(Summary!$J78=1,MAX(0,$J$28*MIN(1,S17)+$J$29*(S17-1)),IF(S17=0,0,($J$28*(1+$J$29/100)^(S17-1))))</f>
        <v>7.9860000000000024</v>
      </c>
      <c r="T28" s="94">
        <f>IF(Summary!$J78=1,MAX(0,$J$28*MIN(1,T17)+$J$29*(T17-1)),IF(T17=0,0,($J$28*(1+$J$29/100)^(T17-1))))</f>
        <v>8.7846000000000029</v>
      </c>
      <c r="U28" s="94">
        <f>IF(Summary!$J78=1,MAX(0,$J$28*MIN(1,U17)+$J$29*(U17-1)),IF(U17=0,0,($J$28*(1+$J$29/100)^(U17-1))))</f>
        <v>9.6630600000000033</v>
      </c>
      <c r="V28" s="94">
        <f>IF(Summary!$J78=1,MAX(0,$J$28*MIN(1,V17)+$J$29*(V17-1)),IF(V17=0,0,($J$28*(1+$J$29/100)^(V17-1))))</f>
        <v>10.629366000000005</v>
      </c>
      <c r="W28" s="94">
        <f>IF(Summary!$J78=1,MAX(0,$J$28*MIN(1,W17)+$J$29*(W17-1)),IF(W17=0,0,($J$28*(1+$J$29/100)^(W17-1))))</f>
        <v>11.692302600000007</v>
      </c>
      <c r="X28" s="94">
        <f>IF(Summary!$J78=1,MAX(0,$J$28*MIN(1,X17)+$J$29*(X17-1)),IF(X17=0,0,($J$28*(1+$J$29/100)^(X17-1))))</f>
        <v>12.861532860000008</v>
      </c>
      <c r="Y28" s="94">
        <f>IF(Summary!$J78=1,MAX(0,$J$28*MIN(1,Y17)+$J$29*(Y17-1)),IF(Y17=0,0,($J$28*(1+$J$29/100)^(Y17-1))))</f>
        <v>14.147686146000009</v>
      </c>
      <c r="Z28" s="94">
        <f>IF(Summary!$J78=1,MAX(0,$J$28*MIN(1,Z17)+$J$29*(Z17-1)),IF(Z17=0,0,($J$28*(1+$J$29/100)^(Z17-1))))</f>
        <v>15.562454760600012</v>
      </c>
      <c r="AA28" s="94">
        <f>IF(Summary!$J78=1,MAX(0,$J$28*MIN(1,AA17)+$J$29*(AA17-1)),IF(AA17=0,0,($J$28*(1+$J$29/100)^(AA17-1))))</f>
        <v>17.118700236660015</v>
      </c>
      <c r="AB28" s="94">
        <f>IF(Summary!$J78=1,MAX(0,$J$28*MIN(1,AB17)+$J$29*(AB17-1)),IF(AB17=0,0,($J$28*(1+$J$29/100)^(AB17-1))))</f>
        <v>18.830570260326017</v>
      </c>
      <c r="AC28" s="94">
        <f>IF(Summary!$J78=1,MAX(0,$J$28*MIN(1,AC17)+$J$29*(AC17-1)),IF(AC17=0,0,($J$28*(1+$J$29/100)^(AC17-1))))</f>
        <v>20.713627286358616</v>
      </c>
      <c r="AD28" s="94">
        <f>IF(Summary!$J78=1,MAX(0,$J$28*MIN(1,AD17)+$J$29*(AD17-1)),IF(AD17=0,0,($J$28*(1+$J$29/100)^(AD17-1))))</f>
        <v>22.784990014994484</v>
      </c>
      <c r="AE28" s="94">
        <f>IF(Summary!$J78=1,MAX(0,$J$28*MIN(1,AE17)+$J$29*(AE17-1)),IF(AE17=0,0,($J$28*(1+$J$29/100)^(AE17-1))))</f>
        <v>22.784990014994484</v>
      </c>
      <c r="AF28" s="94">
        <f>IF(Summary!$J78=1,MAX(0,$J$28*MIN(1,AF17)+$J$29*(AF17-1)),IF(AF17=0,0,($J$28*(1+$J$29/100)^(AF17-1))))</f>
        <v>22.784990014994484</v>
      </c>
      <c r="AG28" s="94">
        <f>IF(Summary!$J78=1,MAX(0,$J$28*MIN(1,AG17)+$J$29*(AG17-1)),IF(AG17=0,0,($J$28*(1+$J$29/100)^(AG17-1))))</f>
        <v>22.784990014994484</v>
      </c>
      <c r="AH28" s="94">
        <f>IF(Summary!$J78=1,MAX(0,$J$28*MIN(1,AH17)+$J$29*(AH17-1)),IF(AH17=0,0,($J$28*(1+$J$29/100)^(AH17-1))))</f>
        <v>22.784990014994484</v>
      </c>
      <c r="AI28" s="94">
        <f>IF(Summary!$J78=1,MAX(0,$J$28*MIN(1,AI17)+$J$29*(AI17-1)),IF(AI17=0,0,($J$28*(1+$J$29/100)^(AI17-1))))</f>
        <v>22.784990014994484</v>
      </c>
      <c r="AJ28" s="94">
        <f>IF(Summary!$J78=1,MAX(0,$J$28*MIN(1,AJ17)+$J$29*(AJ17-1)),IF(AJ17=0,0,($J$28*(1+$J$29/100)^(AJ17-1))))</f>
        <v>22.784990014994484</v>
      </c>
      <c r="AK28" s="94">
        <f>IF(Summary!$J78=1,MAX(0,$J$28*MIN(1,AK17)+$J$29*(AK17-1)),IF(AK17=0,0,($J$28*(1+$J$29/100)^(AK17-1))))</f>
        <v>22.784990014994484</v>
      </c>
      <c r="AL28" s="94">
        <f>IF(Summary!$J78=1,MAX(0,$J$28*MIN(1,AL17)+$J$29*(AL17-1)),IF(AL17=0,0,($J$28*(1+$J$29/100)^(AL17-1))))</f>
        <v>22.784990014994484</v>
      </c>
      <c r="AM28" s="84"/>
      <c r="AO28" s="8">
        <f>ROW()</f>
        <v>28</v>
      </c>
    </row>
    <row r="29" spans="1:41" ht="13.9" customHeight="1" x14ac:dyDescent="0.2">
      <c r="B29" s="234" t="s">
        <v>537</v>
      </c>
      <c r="J29" s="299">
        <f>IF(Summary!J78=1,MAX(J28*I12/I11, 0.0001),Summary!J85*100*IF(Summary!C95="YES",1,0))</f>
        <v>10</v>
      </c>
      <c r="K29" s="300" t="str">
        <f>IF(Summary!$J$78=1,"¢/gal","%")</f>
        <v>%</v>
      </c>
      <c r="L29" s="64"/>
      <c r="M29" s="233"/>
      <c r="N29" s="233"/>
      <c r="O29" s="233"/>
      <c r="P29" s="155"/>
      <c r="Q29" s="84"/>
      <c r="R29" s="84"/>
      <c r="S29" s="84"/>
      <c r="T29" s="84"/>
      <c r="U29" s="84"/>
      <c r="V29" s="84"/>
      <c r="W29" s="208"/>
      <c r="X29" s="84"/>
      <c r="Y29" s="84"/>
      <c r="Z29" s="84"/>
      <c r="AA29" s="84"/>
      <c r="AB29" s="84"/>
      <c r="AC29" s="84"/>
      <c r="AD29" s="84"/>
      <c r="AE29" s="84"/>
      <c r="AF29" s="84"/>
      <c r="AG29" s="84"/>
      <c r="AH29" s="84"/>
      <c r="AI29" s="84"/>
      <c r="AJ29" s="84"/>
      <c r="AK29" s="84"/>
      <c r="AL29" s="84"/>
      <c r="AM29" s="84"/>
      <c r="AO29" s="8">
        <f>ROW()</f>
        <v>29</v>
      </c>
    </row>
    <row r="30" spans="1:41" ht="13.9" customHeight="1" x14ac:dyDescent="0.2">
      <c r="I30" s="165">
        <v>2005</v>
      </c>
      <c r="J30" s="165"/>
      <c r="K30" s="165">
        <f>K7</f>
        <v>2007</v>
      </c>
      <c r="L30" s="165"/>
      <c r="M30" s="165">
        <f t="shared" ref="M30:AL30" si="2">M7</f>
        <v>2009</v>
      </c>
      <c r="N30" s="165">
        <f t="shared" si="2"/>
        <v>2010</v>
      </c>
      <c r="O30" s="165">
        <f t="shared" si="2"/>
        <v>2011</v>
      </c>
      <c r="P30" s="165">
        <f t="shared" si="2"/>
        <v>2012</v>
      </c>
      <c r="Q30" s="165">
        <f t="shared" si="2"/>
        <v>2013</v>
      </c>
      <c r="R30" s="165">
        <f t="shared" si="2"/>
        <v>2014</v>
      </c>
      <c r="S30" s="165">
        <f t="shared" si="2"/>
        <v>2015</v>
      </c>
      <c r="T30" s="165">
        <f t="shared" si="2"/>
        <v>2016</v>
      </c>
      <c r="U30" s="165">
        <f t="shared" si="2"/>
        <v>2017</v>
      </c>
      <c r="V30" s="165">
        <f t="shared" si="2"/>
        <v>2018</v>
      </c>
      <c r="W30" s="165">
        <f t="shared" si="2"/>
        <v>2019</v>
      </c>
      <c r="X30" s="165">
        <f t="shared" si="2"/>
        <v>2020</v>
      </c>
      <c r="Y30" s="165">
        <f t="shared" si="2"/>
        <v>2021</v>
      </c>
      <c r="Z30" s="165">
        <f t="shared" si="2"/>
        <v>2022</v>
      </c>
      <c r="AA30" s="165">
        <f t="shared" si="2"/>
        <v>2023</v>
      </c>
      <c r="AB30" s="165">
        <f t="shared" si="2"/>
        <v>2024</v>
      </c>
      <c r="AC30" s="165">
        <f t="shared" si="2"/>
        <v>2025</v>
      </c>
      <c r="AD30" s="165">
        <f t="shared" si="2"/>
        <v>2026</v>
      </c>
      <c r="AE30" s="165">
        <f t="shared" si="2"/>
        <v>2027</v>
      </c>
      <c r="AF30" s="165">
        <f t="shared" si="2"/>
        <v>2028</v>
      </c>
      <c r="AG30" s="165">
        <f t="shared" si="2"/>
        <v>2029</v>
      </c>
      <c r="AH30" s="165">
        <f t="shared" si="2"/>
        <v>2030</v>
      </c>
      <c r="AI30" s="165">
        <f t="shared" si="2"/>
        <v>2031</v>
      </c>
      <c r="AJ30" s="165">
        <f t="shared" si="2"/>
        <v>2032</v>
      </c>
      <c r="AK30" s="165">
        <f t="shared" si="2"/>
        <v>2033</v>
      </c>
      <c r="AL30" s="165">
        <f t="shared" si="2"/>
        <v>2034</v>
      </c>
      <c r="AO30" s="8">
        <f>ROW()</f>
        <v>30</v>
      </c>
    </row>
    <row r="31" spans="1:41" ht="13.9" customHeight="1" x14ac:dyDescent="0.2">
      <c r="B31" t="s">
        <v>148</v>
      </c>
      <c r="H31" s="123"/>
      <c r="I31" s="166">
        <f>Emissions!S119</f>
        <v>9159.2639999999992</v>
      </c>
      <c r="J31" s="166"/>
      <c r="K31" s="166">
        <f>Emissions!S121</f>
        <v>9285.6689999999999</v>
      </c>
      <c r="L31" s="166"/>
      <c r="M31" s="166">
        <f>Emissions!S123</f>
        <v>8996.5210000000006</v>
      </c>
      <c r="N31" s="166">
        <f>Emissions!S124</f>
        <v>8992.6540000000005</v>
      </c>
      <c r="O31" s="166">
        <f>Emissions!S125</f>
        <v>8807.8430840770179</v>
      </c>
      <c r="AM31" s="297"/>
      <c r="AO31" s="8">
        <f>ROW()</f>
        <v>31</v>
      </c>
    </row>
    <row r="32" spans="1:41" ht="13.9" customHeight="1" x14ac:dyDescent="0.2">
      <c r="B32" s="110" t="s">
        <v>178</v>
      </c>
      <c r="M32" s="84"/>
      <c r="AO32" s="8">
        <f>ROW()</f>
        <v>32</v>
      </c>
    </row>
    <row r="33" spans="2:41" ht="13.9" customHeight="1" x14ac:dyDescent="0.2">
      <c r="B33" t="s">
        <v>149</v>
      </c>
      <c r="I33" s="167">
        <f>I31*Parameters!$J$19</f>
        <v>3343131.36</v>
      </c>
      <c r="J33" s="167"/>
      <c r="K33" s="167">
        <f>K31*Parameters!$J$19</f>
        <v>3389269.1850000001</v>
      </c>
      <c r="L33" s="167"/>
      <c r="M33" s="167">
        <f>M31*Parameters!$J$19</f>
        <v>3283730.165</v>
      </c>
      <c r="N33" s="167">
        <f>N31*Parameters!$J$19</f>
        <v>3282318.71</v>
      </c>
      <c r="O33" s="167">
        <f>O31*Parameters!$J$19</f>
        <v>3214862.7256881115</v>
      </c>
      <c r="AO33" s="8">
        <f>ROW()</f>
        <v>33</v>
      </c>
    </row>
    <row r="34" spans="2:41" ht="13.9" customHeight="1" x14ac:dyDescent="0.2">
      <c r="B34" t="s">
        <v>150</v>
      </c>
      <c r="I34" s="166">
        <f>I33*Parameters!$J$18/1000</f>
        <v>140411.51712</v>
      </c>
      <c r="J34" s="166"/>
      <c r="K34" s="166">
        <f>K33*Parameters!$J$18/1000</f>
        <v>142349.30577000001</v>
      </c>
      <c r="L34" s="166"/>
      <c r="M34" s="166">
        <f>M33*Parameters!$J$18/1000</f>
        <v>137916.66693000001</v>
      </c>
      <c r="N34" s="166">
        <f>N33*Parameters!$J$18/1000</f>
        <v>137857.38582</v>
      </c>
      <c r="O34" s="166">
        <f>O33*Parameters!$J$18/1000</f>
        <v>135024.23447890067</v>
      </c>
      <c r="AO34" s="8">
        <f>ROW()</f>
        <v>34</v>
      </c>
    </row>
    <row r="35" spans="2:41" ht="13.9" customHeight="1" x14ac:dyDescent="0.2">
      <c r="I35" s="84"/>
      <c r="J35" s="84"/>
      <c r="K35" s="84"/>
      <c r="L35" s="84"/>
      <c r="M35" s="84"/>
      <c r="AO35" s="8">
        <f>ROW()</f>
        <v>35</v>
      </c>
    </row>
    <row r="36" spans="2:41" ht="13.9" customHeight="1" x14ac:dyDescent="0.2">
      <c r="B36" s="42" t="s">
        <v>364</v>
      </c>
      <c r="J36" s="168"/>
      <c r="K36" s="257">
        <v>1.7000000000000001E-2</v>
      </c>
      <c r="M36" s="258"/>
      <c r="N36" s="258"/>
      <c r="O36" s="258"/>
      <c r="AO36" s="8">
        <f>ROW()</f>
        <v>36</v>
      </c>
    </row>
    <row r="37" spans="2:41" ht="13.9" customHeight="1" x14ac:dyDescent="0.2">
      <c r="B37" s="258" t="s">
        <v>365</v>
      </c>
      <c r="L37" s="258"/>
      <c r="M37" s="258"/>
      <c r="N37" s="258"/>
      <c r="O37" s="258"/>
      <c r="P37" s="258"/>
      <c r="Q37" s="258"/>
      <c r="R37" s="258"/>
      <c r="S37" s="258"/>
      <c r="T37" s="258"/>
      <c r="U37" s="258"/>
      <c r="V37" s="238"/>
      <c r="Y37" s="235"/>
      <c r="AO37" s="8">
        <f>ROW()</f>
        <v>37</v>
      </c>
    </row>
    <row r="38" spans="2:41" ht="13.9" customHeight="1" x14ac:dyDescent="0.2">
      <c r="B38" s="42" t="s">
        <v>366</v>
      </c>
      <c r="K38" s="260">
        <v>1</v>
      </c>
      <c r="L38" s="240"/>
      <c r="M38" s="240"/>
      <c r="N38" s="240"/>
      <c r="O38" s="240"/>
      <c r="P38" s="240"/>
      <c r="Q38" s="240"/>
      <c r="R38" s="240"/>
      <c r="S38" s="240"/>
      <c r="T38" s="240"/>
      <c r="U38" s="240"/>
      <c r="V38" s="238"/>
      <c r="Y38" s="235"/>
      <c r="AO38" s="8">
        <f>ROW()</f>
        <v>38</v>
      </c>
    </row>
    <row r="39" spans="2:41" ht="13.9" customHeight="1" x14ac:dyDescent="0.2">
      <c r="B39" s="258" t="s">
        <v>367</v>
      </c>
      <c r="K39" s="8"/>
      <c r="L39" s="240"/>
      <c r="M39" s="240"/>
      <c r="N39" s="240"/>
      <c r="O39" s="240"/>
      <c r="P39" s="240"/>
      <c r="Q39" s="240"/>
      <c r="R39" s="240"/>
      <c r="S39" s="240"/>
      <c r="T39" s="240"/>
      <c r="U39" s="240"/>
      <c r="V39" s="238"/>
      <c r="Y39" s="235"/>
      <c r="AO39" s="8">
        <f>ROW()</f>
        <v>39</v>
      </c>
    </row>
    <row r="40" spans="2:41" ht="13.9" customHeight="1" x14ac:dyDescent="0.2">
      <c r="B40" s="42" t="s">
        <v>368</v>
      </c>
      <c r="K40" s="257">
        <f>K36*K38</f>
        <v>1.7000000000000001E-2</v>
      </c>
      <c r="L40" s="240"/>
      <c r="M40" s="240"/>
      <c r="N40" s="240"/>
      <c r="O40" s="166"/>
      <c r="P40" s="240"/>
      <c r="Q40" s="240"/>
      <c r="R40" s="240"/>
      <c r="S40" s="240"/>
      <c r="T40" s="240"/>
      <c r="U40" s="240"/>
      <c r="V40" s="238"/>
      <c r="Y40" s="235"/>
      <c r="AO40" s="8">
        <f>ROW()</f>
        <v>40</v>
      </c>
    </row>
    <row r="41" spans="2:41" ht="13.9" customHeight="1" x14ac:dyDescent="0.2">
      <c r="B41" s="258" t="str">
        <f>CONCATENATE("Product of Rows ",AO36, " and ",AO38, ".")</f>
        <v>Product of Rows 36 and 38.</v>
      </c>
      <c r="L41" s="110"/>
      <c r="M41" s="110"/>
      <c r="AO41" s="8">
        <f>ROW()</f>
        <v>41</v>
      </c>
    </row>
    <row r="42" spans="2:41" ht="13.9" customHeight="1" x14ac:dyDescent="0.2">
      <c r="B42" t="s">
        <v>206</v>
      </c>
      <c r="I42" s="166">
        <f>I34</f>
        <v>140411.51712</v>
      </c>
      <c r="J42" s="166"/>
      <c r="K42" s="166">
        <f>K34</f>
        <v>142349.30577000001</v>
      </c>
      <c r="L42" s="166"/>
      <c r="M42" s="166">
        <f>M34</f>
        <v>137916.66693000001</v>
      </c>
      <c r="N42" s="166">
        <f>N34</f>
        <v>137857.38582</v>
      </c>
      <c r="O42" s="166">
        <f>O34</f>
        <v>135024.23447890067</v>
      </c>
      <c r="P42" s="166">
        <f>O42*((1+Parameters!$J$8)^Parameters!$G$45)*((1+Parameters!$J$9)^Parameters!$G$45)^(P7-2012)*((1+$K$40)^Parameters!$F$45)^(P7-2011)</f>
        <v>135454.68709685345</v>
      </c>
      <c r="Q42" s="166">
        <f>P42*((1+Parameters!$J$9)^Parameters!$G$45)*(1+$K$40)^Parameters!$F$45</f>
        <v>136332.4075174758</v>
      </c>
      <c r="R42" s="166">
        <f>Q42*((1+Parameters!$J$9)^Parameters!$G$45)*(1+$K$40)^Parameters!$F$45</f>
        <v>137215.81539826133</v>
      </c>
      <c r="S42" s="166">
        <f>R42*((1+Parameters!$J$9)^Parameters!$G$45)*(1+$K$40)^Parameters!$F$45</f>
        <v>138104.94759286221</v>
      </c>
      <c r="T42" s="166">
        <f>S42*((1+Parameters!$J$9)^Parameters!$G$45)*(1+$K$40)^Parameters!$F$45</f>
        <v>138999.84119373525</v>
      </c>
      <c r="U42" s="166">
        <f>T42*((1+Parameters!$J$9)^Parameters!$G$45)*(1+$K$40)^Parameters!$F$45</f>
        <v>139900.53353368927</v>
      </c>
      <c r="V42" s="166">
        <f>U42*((1+Parameters!$J$9)^Parameters!$G$45)*(1+$K$40)^Parameters!$F$45</f>
        <v>140807.06218744256</v>
      </c>
      <c r="W42" s="166">
        <f>V42*((1+Parameters!$J$9)^Parameters!$G$45)*(1+$K$40)^Parameters!$F$45</f>
        <v>141719.4649731903</v>
      </c>
      <c r="X42" s="166">
        <f>W42*((1+Parameters!$J$9)^Parameters!$G$45)*(1+$K$40)^Parameters!$F$45</f>
        <v>142637.77995418245</v>
      </c>
      <c r="Y42" s="166">
        <f>X42*((1+Parameters!$J$9)^Parameters!$G$45)*(1+$K$40)^Parameters!$F$45</f>
        <v>143562.04544031143</v>
      </c>
      <c r="Z42" s="166">
        <f>Y42*((1+Parameters!$J$9)^Parameters!$G$45)*(1+$K$40)^Parameters!$F$45</f>
        <v>144492.29998971047</v>
      </c>
      <c r="AA42" s="166">
        <f>Z42*((1+Parameters!$J$9)^Parameters!$G$45)*(1+$K$40)^Parameters!$F$45</f>
        <v>145428.58241036217</v>
      </c>
      <c r="AB42" s="166">
        <f>AA42*((1+Parameters!$J$9)^Parameters!$G$45)*(1+$K$40)^Parameters!$F$45</f>
        <v>146370.93176171734</v>
      </c>
      <c r="AC42" s="166">
        <f>AB42*((1+Parameters!$J$9)^Parameters!$G$45)*(1+$K$40)^Parameters!$F$45</f>
        <v>147319.38735632453</v>
      </c>
      <c r="AD42" s="166">
        <f>AC42*((1+Parameters!$J$9)^Parameters!$G$45)*(1+$K$40)^Parameters!$F$45</f>
        <v>148273.98876147016</v>
      </c>
      <c r="AE42" s="166">
        <f>AD42*((1+Parameters!$J$9)^Parameters!$G$45)*(1+$K$40)^Parameters!$F$45</f>
        <v>149234.77580082905</v>
      </c>
      <c r="AF42" s="166">
        <f>AE42*((1+Parameters!$J$9)^Parameters!$G$45)*(1+$K$40)^Parameters!$F$45</f>
        <v>150201.7885561258</v>
      </c>
      <c r="AG42" s="166">
        <f>AF42*((1+Parameters!$J$9)^Parameters!$G$45)*(1+$K$40)^Parameters!$F$45</f>
        <v>151175.06736880686</v>
      </c>
      <c r="AH42" s="166">
        <f>AG42*((1+Parameters!$J$9)^Parameters!$G$45)*(1+$K$40)^Parameters!$F$45</f>
        <v>152154.65284172361</v>
      </c>
      <c r="AI42" s="166">
        <f>AH42*((1+Parameters!$J$9)^Parameters!$G$45)*(1+$K$40)^Parameters!$F$45</f>
        <v>153140.58584082607</v>
      </c>
      <c r="AJ42" s="166">
        <f>AI42*((1+Parameters!$J$9)^Parameters!$G$45)*(1+$K$40)^Parameters!$F$45</f>
        <v>154132.90749686779</v>
      </c>
      <c r="AK42" s="166">
        <f>AJ42*((1+Parameters!$J$9)^Parameters!$G$45)*(1+$K$40)^Parameters!$F$45</f>
        <v>155131.65920712173</v>
      </c>
      <c r="AL42" s="166">
        <f>AK42*((1+Parameters!$J$9)^Parameters!$G$45)*(1+$K$40)^Parameters!$F$45</f>
        <v>156136.88263710728</v>
      </c>
      <c r="AO42" s="8">
        <f>ROW()</f>
        <v>42</v>
      </c>
    </row>
    <row r="43" spans="2:41" ht="13.9" customHeight="1" x14ac:dyDescent="0.2">
      <c r="B43" s="396" t="str">
        <f>CONCATENATE("2005-2011 figures are from Row ",AO34, ". Figures for 2012 and later apply income-elasticity for gasoline given in Parameters page, Row ",Parameters!$O$45," to assumed GDP growth rates given in Row ",Parameters!$O$8, " from same tab.")</f>
        <v>2005-2011 figures are from Row 34. Figures for 2012 and later apply income-elasticity for gasoline given in Parameters page, Row 45 to assumed GDP growth rates given in Row 8 from same tab.</v>
      </c>
      <c r="C43" s="392"/>
      <c r="D43" s="392"/>
      <c r="E43" s="392"/>
      <c r="F43" s="392"/>
      <c r="G43" s="392"/>
      <c r="H43" s="392"/>
      <c r="I43" s="392"/>
      <c r="J43" s="392"/>
      <c r="K43" s="392"/>
      <c r="L43" s="392"/>
      <c r="M43" s="423"/>
      <c r="AO43" s="8">
        <f>ROW()</f>
        <v>43</v>
      </c>
    </row>
    <row r="44" spans="2:41" ht="13.9" customHeight="1" x14ac:dyDescent="0.2">
      <c r="B44" s="392"/>
      <c r="C44" s="392"/>
      <c r="D44" s="392"/>
      <c r="E44" s="392"/>
      <c r="F44" s="392"/>
      <c r="G44" s="392"/>
      <c r="H44" s="392"/>
      <c r="I44" s="392"/>
      <c r="J44" s="392"/>
      <c r="K44" s="392"/>
      <c r="L44" s="392"/>
      <c r="M44" s="423"/>
      <c r="AO44" s="8">
        <f>ROW()</f>
        <v>44</v>
      </c>
    </row>
    <row r="45" spans="2:41" ht="13.9" customHeight="1" x14ac:dyDescent="0.2">
      <c r="M45"/>
      <c r="N45" s="210"/>
      <c r="O45" s="210"/>
      <c r="P45" s="210"/>
      <c r="Q45" s="210"/>
      <c r="R45" s="210"/>
      <c r="S45" s="210"/>
      <c r="T45" s="210"/>
      <c r="U45" s="210"/>
      <c r="V45" s="210"/>
      <c r="W45" s="210"/>
      <c r="X45" s="210"/>
      <c r="Y45" s="210"/>
      <c r="AO45" s="8">
        <f>ROW()</f>
        <v>45</v>
      </c>
    </row>
    <row r="46" spans="2:41" ht="13.9" customHeight="1" x14ac:dyDescent="0.2">
      <c r="B46" t="s">
        <v>193</v>
      </c>
      <c r="I46" s="28">
        <f>I42*$K$25/Parameters!$J$15</f>
        <v>1246.2197147552799</v>
      </c>
      <c r="J46" s="28"/>
      <c r="K46" s="28">
        <f>K42*$K$25/Parameters!$J$15</f>
        <v>1263.4185205811239</v>
      </c>
      <c r="L46" s="28"/>
      <c r="M46" s="179">
        <f>M42*$K$25/Parameters!$J$15</f>
        <v>1224.0767199646048</v>
      </c>
      <c r="N46" s="179">
        <f>N42*$K$25/Parameters!$J$15</f>
        <v>1223.5505716150258</v>
      </c>
      <c r="O46" s="179">
        <f>O42*$K$25/Parameters!$J$15</f>
        <v>1198.404991476141</v>
      </c>
      <c r="P46" s="179">
        <f>P42*$K$25/Parameters!$J$15</f>
        <v>1202.2254653928378</v>
      </c>
      <c r="Q46" s="179">
        <f>Q42*$K$25/Parameters!$J$15</f>
        <v>1210.0156560741907</v>
      </c>
      <c r="R46" s="179">
        <f>R42*$K$25/Parameters!$J$15</f>
        <v>1217.8563256986363</v>
      </c>
      <c r="S46" s="179">
        <f>S42*$K$25/Parameters!$J$15</f>
        <v>1225.7478013600544</v>
      </c>
      <c r="T46" s="179">
        <f>T42*$K$25/Parameters!$J$15</f>
        <v>1233.6904122718302</v>
      </c>
      <c r="U46" s="179">
        <f>U42*$K$25/Parameters!$J$15</f>
        <v>1241.6844897805895</v>
      </c>
      <c r="V46" s="179">
        <f>V42*$K$25/Parameters!$J$15</f>
        <v>1249.7303673800204</v>
      </c>
      <c r="W46" s="179">
        <f>W42*$K$25/Parameters!$J$15</f>
        <v>1257.8283807247856</v>
      </c>
      <c r="X46" s="179">
        <f>X42*$K$25/Parameters!$J$15</f>
        <v>1265.9788676445264</v>
      </c>
      <c r="Y46" s="179">
        <f>Y42*$K$25/Parameters!$J$15</f>
        <v>1274.1821681579552</v>
      </c>
      <c r="Z46" s="179">
        <f>Z42*$K$25/Parameters!$J$15</f>
        <v>1282.4386244870404</v>
      </c>
      <c r="AA46" s="179">
        <f>AA42*$K$25/Parameters!$J$15</f>
        <v>1290.7485810712838</v>
      </c>
      <c r="AB46" s="179">
        <f>AB42*$K$25/Parameters!$J$15</f>
        <v>1299.1123845820882</v>
      </c>
      <c r="AC46" s="179">
        <f>AC42*$K$25/Parameters!$J$15</f>
        <v>1307.5303839372216</v>
      </c>
      <c r="AD46" s="179">
        <f>AD42*$K$25/Parameters!$J$15</f>
        <v>1316.0029303153713</v>
      </c>
      <c r="AE46" s="179">
        <f>AE42*$K$25/Parameters!$J$15</f>
        <v>1324.5303771707963</v>
      </c>
      <c r="AF46" s="179">
        <f>AF42*$K$25/Parameters!$J$15</f>
        <v>1333.1130802480711</v>
      </c>
      <c r="AG46" s="179">
        <f>AG42*$K$25/Parameters!$J$15</f>
        <v>1341.7513975969259</v>
      </c>
      <c r="AH46" s="179">
        <f>AH42*$K$25/Parameters!$J$15</f>
        <v>1350.4456895871865</v>
      </c>
      <c r="AI46" s="179">
        <f>AI42*$K$25/Parameters!$J$15</f>
        <v>1359.1963189238043</v>
      </c>
      <c r="AJ46" s="179">
        <f>AJ42*$K$25/Parameters!$J$15</f>
        <v>1368.0036506619899</v>
      </c>
      <c r="AK46" s="179">
        <f>AK42*$K$25/Parameters!$J$15</f>
        <v>1376.8680522224424</v>
      </c>
      <c r="AL46" s="179">
        <f>AL42*$K$25/Parameters!$J$15</f>
        <v>1385.7898934066759</v>
      </c>
      <c r="AM46" s="19"/>
      <c r="AO46" s="8">
        <f>ROW()</f>
        <v>46</v>
      </c>
    </row>
    <row r="47" spans="2:41" ht="13.9" customHeight="1" x14ac:dyDescent="0.2">
      <c r="M47" s="84"/>
      <c r="AO47" s="8">
        <f>ROW()</f>
        <v>47</v>
      </c>
    </row>
    <row r="48" spans="2:41" ht="13.9" customHeight="1" x14ac:dyDescent="0.2">
      <c r="B48" s="66" t="s">
        <v>37</v>
      </c>
      <c r="F48" s="261">
        <v>10</v>
      </c>
      <c r="G48" s="103" t="s">
        <v>54</v>
      </c>
      <c r="H48" s="103"/>
      <c r="I48" s="67">
        <v>0.01</v>
      </c>
      <c r="J48" s="67"/>
      <c r="M48" s="84"/>
      <c r="AO48" s="8">
        <f>ROW()</f>
        <v>48</v>
      </c>
    </row>
    <row r="49" spans="2:41" ht="13.9" customHeight="1" x14ac:dyDescent="0.2">
      <c r="B49" s="110" t="s">
        <v>154</v>
      </c>
      <c r="I49" s="5"/>
      <c r="J49" s="5"/>
      <c r="AO49" s="8">
        <f>ROW()</f>
        <v>49</v>
      </c>
    </row>
    <row r="50" spans="2:41" ht="13.9" customHeight="1" x14ac:dyDescent="0.2">
      <c r="B50" t="s">
        <v>210</v>
      </c>
      <c r="F50" s="2"/>
      <c r="G50" s="34"/>
      <c r="H50" s="34"/>
      <c r="I50" s="34"/>
      <c r="J50" s="34"/>
      <c r="K50" s="2"/>
      <c r="L50" s="34"/>
      <c r="M50" s="33">
        <f>M19*M55*(1/Parameters!$J$15)+M28/100</f>
        <v>0</v>
      </c>
      <c r="N50" s="33">
        <f>N19*N55*(1/Parameters!$J$15)+N28/100</f>
        <v>0</v>
      </c>
      <c r="O50" s="33">
        <f>O19*O55*(1/Parameters!$J$15)+O28/100</f>
        <v>0</v>
      </c>
      <c r="P50" s="33">
        <f>P19*P55*(1/Parameters!$J$15)+P28/100</f>
        <v>0.15687365332005032</v>
      </c>
      <c r="Q50" s="33">
        <f>Q19*Q55*(1/Parameters!$J$15)+Q28/100</f>
        <v>0.17245397504963902</v>
      </c>
      <c r="R50" s="33">
        <f>R19*R55*(1/Parameters!$J$15)+R28/100</f>
        <v>0.18956998640589987</v>
      </c>
      <c r="S50" s="33">
        <f>S19*S55*(1/Parameters!$J$15)+S28/100</f>
        <v>0.20837060943325131</v>
      </c>
      <c r="T50" s="33">
        <f>T19*T55*(1/Parameters!$J$15)+T28/100</f>
        <v>0.22901869733499558</v>
      </c>
      <c r="U50" s="33">
        <f>U19*U55*(1/Parameters!$J$15)+U28/100</f>
        <v>0.25169223062781337</v>
      </c>
      <c r="V50" s="33">
        <f>V19*V55*(1/Parameters!$J$15)+V28/100</f>
        <v>0.27658559313802511</v>
      </c>
      <c r="W50" s="33">
        <f>W19*W55*(1/Parameters!$J$15)+W28/100</f>
        <v>0.30391092798788744</v>
      </c>
      <c r="X50" s="33">
        <f>X19*X55*(1/Parameters!$J$15)+X28/100</f>
        <v>0.33389957225626987</v>
      </c>
      <c r="Y50" s="33">
        <f>Y19*Y55*(1/Parameters!$J$15)+Y28/100</f>
        <v>0.36680356713049589</v>
      </c>
      <c r="Z50" s="33">
        <f>Z19*Z55*(1/Parameters!$J$15)+Z28/100</f>
        <v>0.40289723801731259</v>
      </c>
      <c r="AA50" s="33">
        <f>AA19*AA55*(1/Parameters!$J$15)+AA28/100</f>
        <v>0.44247883616282691</v>
      </c>
      <c r="AB50" s="33">
        <f>AB19*AB55*(1/Parameters!$J$15)+AB28/100</f>
        <v>0.48587222974526223</v>
      </c>
      <c r="AC50" s="33">
        <f>AC19*AC55*(1/Parameters!$J$15)+AC28/100</f>
        <v>0.53342862804203084</v>
      </c>
      <c r="AD50" s="33">
        <f>AD19*AD55*(1/Parameters!$J$15)+AD28/100</f>
        <v>0.58552831701691588</v>
      </c>
      <c r="AE50" s="33">
        <f>AE19*AE55*(1/Parameters!$J$15)+AE28/100</f>
        <v>0.58552831701691588</v>
      </c>
      <c r="AF50" s="33">
        <f>AF19*AF55*(1/Parameters!$J$15)+AF28/100</f>
        <v>0.58552831701691588</v>
      </c>
      <c r="AG50" s="33">
        <f>AG19*AG55*(1/Parameters!$J$15)+AG28/100</f>
        <v>0.58552831701691588</v>
      </c>
      <c r="AH50" s="33">
        <f>AH19*AH55*(1/Parameters!$J$15)+AH28/100</f>
        <v>0.58552831701691588</v>
      </c>
      <c r="AI50" s="33">
        <f>AI19*AI55*(1/Parameters!$J$15)+AI28/100</f>
        <v>0.58552831701691588</v>
      </c>
      <c r="AJ50" s="33">
        <f>AJ19*AJ55*(1/Parameters!$J$15)+AJ28/100</f>
        <v>0.58552831701691588</v>
      </c>
      <c r="AK50" s="33">
        <f>AK19*AK55*(1/Parameters!$J$15)+AK28/100</f>
        <v>0.58552831701691588</v>
      </c>
      <c r="AL50" s="33">
        <f>AL19*AL55*(1/Parameters!$J$15)+AL28/100</f>
        <v>0.58552831701691588</v>
      </c>
      <c r="AM50" s="33"/>
      <c r="AO50" s="8">
        <f>ROW()</f>
        <v>50</v>
      </c>
    </row>
    <row r="51" spans="2:41" ht="13.9" customHeight="1" x14ac:dyDescent="0.2">
      <c r="B51" s="42" t="s">
        <v>534</v>
      </c>
      <c r="H51" s="34"/>
      <c r="I51" s="34"/>
      <c r="J51" s="34"/>
      <c r="K51" s="236">
        <v>2.8490000000000002</v>
      </c>
      <c r="L51" s="237">
        <v>3.3170000000000002</v>
      </c>
      <c r="M51" s="237">
        <v>2.4009999999999998</v>
      </c>
      <c r="N51" s="237">
        <v>2.8359999999999999</v>
      </c>
      <c r="O51" s="237">
        <v>3.3</v>
      </c>
      <c r="P51" s="33">
        <f>O51*(1+$K$40)+P50</f>
        <v>3.5129736533200502</v>
      </c>
      <c r="Q51" s="33">
        <f t="shared" ref="Q51:AL51" si="3">(P51-P50)*(1+$K$40)+Q50</f>
        <v>3.5856076750496384</v>
      </c>
      <c r="R51" s="33">
        <f t="shared" si="3"/>
        <v>3.6607472993058985</v>
      </c>
      <c r="S51" s="33">
        <f t="shared" si="3"/>
        <v>3.7385579366525499</v>
      </c>
      <c r="T51" s="33">
        <f t="shared" si="3"/>
        <v>3.8192192091170218</v>
      </c>
      <c r="U51" s="33">
        <f t="shared" si="3"/>
        <v>3.9029261511101341</v>
      </c>
      <c r="V51" s="33">
        <f t="shared" si="3"/>
        <v>3.9898904902685448</v>
      </c>
      <c r="W51" s="33">
        <f t="shared" si="3"/>
        <v>4.0803420083696258</v>
      </c>
      <c r="X51" s="33">
        <f t="shared" si="3"/>
        <v>4.1745299810044969</v>
      </c>
      <c r="Y51" s="33">
        <f t="shared" si="3"/>
        <v>4.2727246928274427</v>
      </c>
      <c r="Z51" s="33">
        <f t="shared" si="3"/>
        <v>4.3752190228511072</v>
      </c>
      <c r="AA51" s="33">
        <f t="shared" si="3"/>
        <v>4.4823300913387953</v>
      </c>
      <c r="AB51" s="33">
        <f t="shared" si="3"/>
        <v>4.5944009562592214</v>
      </c>
      <c r="AC51" s="33">
        <f t="shared" si="3"/>
        <v>4.7118023429067266</v>
      </c>
      <c r="AD51" s="33">
        <f t="shared" si="3"/>
        <v>4.8349343850343116</v>
      </c>
      <c r="AE51" s="33">
        <f t="shared" si="3"/>
        <v>4.9071742881906069</v>
      </c>
      <c r="AF51" s="33">
        <f t="shared" si="3"/>
        <v>4.9806422697005592</v>
      </c>
      <c r="AG51" s="33">
        <f t="shared" si="3"/>
        <v>5.0553592068961803</v>
      </c>
      <c r="AH51" s="33">
        <f t="shared" si="3"/>
        <v>5.131346332024127</v>
      </c>
      <c r="AI51" s="33">
        <f t="shared" si="3"/>
        <v>5.2086252382792493</v>
      </c>
      <c r="AJ51" s="33">
        <f t="shared" si="3"/>
        <v>5.2872178859407084</v>
      </c>
      <c r="AK51" s="33">
        <f t="shared" si="3"/>
        <v>5.367146608612412</v>
      </c>
      <c r="AL51" s="33">
        <f t="shared" si="3"/>
        <v>5.4484341195695354</v>
      </c>
      <c r="AO51" s="8">
        <f>ROW()</f>
        <v>51</v>
      </c>
    </row>
    <row r="52" spans="2:41" ht="13.9" customHeight="1" x14ac:dyDescent="0.2">
      <c r="B52" s="480" t="str">
        <f>CONCATENATE("Historical figures from Monthly Energy Review, except that 2011 figure is Komanoff est., reduced considerably from actual $3.59 average for first 6 months. Figures beyond 2011 apply the assumed non-tax increase in gasoline prices given in Cell K",AO40, " to untaxed portion of gasoline price, which is calcualted by subtracting previous year's tax in Row ",AO50, " from total price for that year in Row ",AO51, ".")</f>
        <v>Historical figures from Monthly Energy Review, except that 2011 figure is Komanoff est., reduced considerably from actual $3.59 average for first 6 months. Figures beyond 2011 apply the assumed non-tax increase in gasoline prices given in Cell K40 to untaxed portion of gasoline price, which is calcualted by subtracting previous year's tax in Row 50 from total price for that year in Row 51.</v>
      </c>
      <c r="C52" s="423"/>
      <c r="D52" s="423"/>
      <c r="E52" s="423"/>
      <c r="F52" s="423"/>
      <c r="G52" s="423"/>
      <c r="H52" s="423"/>
      <c r="I52" s="423"/>
      <c r="J52" s="423"/>
      <c r="K52" s="423"/>
      <c r="L52" s="423"/>
      <c r="M52" s="423"/>
      <c r="AO52" s="8">
        <f>ROW()</f>
        <v>52</v>
      </c>
    </row>
    <row r="53" spans="2:41" ht="13.9" customHeight="1" x14ac:dyDescent="0.2">
      <c r="B53" s="423"/>
      <c r="C53" s="423"/>
      <c r="D53" s="423"/>
      <c r="E53" s="423"/>
      <c r="F53" s="423"/>
      <c r="G53" s="423"/>
      <c r="H53" s="423"/>
      <c r="I53" s="423"/>
      <c r="J53" s="423"/>
      <c r="K53" s="423"/>
      <c r="L53" s="423"/>
      <c r="M53" s="423"/>
      <c r="AO53" s="8">
        <f>ROW()</f>
        <v>53</v>
      </c>
    </row>
    <row r="54" spans="2:41" ht="13.9" customHeight="1" x14ac:dyDescent="0.2">
      <c r="B54" s="423"/>
      <c r="C54" s="423"/>
      <c r="D54" s="423"/>
      <c r="E54" s="423"/>
      <c r="F54" s="423"/>
      <c r="G54" s="423"/>
      <c r="H54" s="423"/>
      <c r="I54" s="423"/>
      <c r="J54" s="423"/>
      <c r="K54" s="423"/>
      <c r="L54" s="423"/>
      <c r="M54" s="423"/>
      <c r="AO54" s="8">
        <f>ROW()</f>
        <v>54</v>
      </c>
    </row>
    <row r="55" spans="2:41" ht="13.9" customHeight="1" x14ac:dyDescent="0.2">
      <c r="B55" t="s">
        <v>207</v>
      </c>
      <c r="K55" s="22">
        <f>K25</f>
        <v>19.570435014151581</v>
      </c>
      <c r="L55" s="7">
        <f t="shared" ref="L55:AL55" si="4">$K$55*(1-$I$48)^(L18/$F$48)</f>
        <v>19.570435014151581</v>
      </c>
      <c r="M55" s="7">
        <f t="shared" si="4"/>
        <v>19.570435014151581</v>
      </c>
      <c r="N55" s="7">
        <f t="shared" si="4"/>
        <v>19.570435014151581</v>
      </c>
      <c r="O55" s="7">
        <f t="shared" si="4"/>
        <v>19.570435014151581</v>
      </c>
      <c r="P55" s="7">
        <f t="shared" si="4"/>
        <v>19.374730664010066</v>
      </c>
      <c r="Q55" s="7">
        <f t="shared" si="4"/>
        <v>19.355268190843457</v>
      </c>
      <c r="R55" s="7">
        <f t="shared" si="4"/>
        <v>19.333882050561957</v>
      </c>
      <c r="S55" s="7">
        <f t="shared" si="4"/>
        <v>19.310384588016714</v>
      </c>
      <c r="T55" s="7">
        <f t="shared" si="4"/>
        <v>19.284570361996515</v>
      </c>
      <c r="U55" s="7">
        <f t="shared" si="4"/>
        <v>19.256214569026366</v>
      </c>
      <c r="V55" s="7">
        <f t="shared" si="4"/>
        <v>19.22507135097521</v>
      </c>
      <c r="W55" s="7">
        <f t="shared" si="4"/>
        <v>19.19087198320241</v>
      </c>
      <c r="X55" s="7">
        <f t="shared" si="4"/>
        <v>19.153322941284589</v>
      </c>
      <c r="Y55" s="7">
        <f t="shared" si="4"/>
        <v>19.112103846115023</v>
      </c>
      <c r="Z55" s="7">
        <f t="shared" si="4"/>
        <v>19.066865289453514</v>
      </c>
      <c r="AA55" s="7">
        <f t="shared" si="4"/>
        <v>19.017226544939454</v>
      </c>
      <c r="AB55" s="7">
        <f t="shared" si="4"/>
        <v>18.962773173297425</v>
      </c>
      <c r="AC55" s="7">
        <f t="shared" si="4"/>
        <v>18.903054535117441</v>
      </c>
      <c r="AD55" s="7">
        <f t="shared" si="4"/>
        <v>18.837581230358467</v>
      </c>
      <c r="AE55" s="7">
        <f t="shared" si="4"/>
        <v>18.837581230358467</v>
      </c>
      <c r="AF55" s="7">
        <f t="shared" si="4"/>
        <v>18.837581230358467</v>
      </c>
      <c r="AG55" s="7">
        <f t="shared" si="4"/>
        <v>18.837581230358467</v>
      </c>
      <c r="AH55" s="7">
        <f t="shared" si="4"/>
        <v>18.837581230358467</v>
      </c>
      <c r="AI55" s="7">
        <f t="shared" si="4"/>
        <v>18.837581230358467</v>
      </c>
      <c r="AJ55" s="7">
        <f t="shared" si="4"/>
        <v>18.837581230358467</v>
      </c>
      <c r="AK55" s="7">
        <f t="shared" si="4"/>
        <v>18.837581230358467</v>
      </c>
      <c r="AL55" s="7">
        <f t="shared" si="4"/>
        <v>18.837581230358467</v>
      </c>
      <c r="AO55" s="8">
        <f>ROW()</f>
        <v>55</v>
      </c>
    </row>
    <row r="56" spans="2:41" ht="13.9" customHeight="1" x14ac:dyDescent="0.2">
      <c r="B56" s="110" t="str">
        <f>CONCATENATE("Figures reduce baseline emission factor by a percentage calculated from Cell I",AO48, " normalized by Cell F",AO48, ".")</f>
        <v>Figures reduce baseline emission factor by a percentage calculated from Cell I48 normalized by Cell F48.</v>
      </c>
      <c r="C56" s="9"/>
      <c r="D56" s="9"/>
      <c r="E56" s="9"/>
      <c r="F56" s="9"/>
      <c r="G56" s="9"/>
      <c r="H56" s="9"/>
      <c r="K56" s="35"/>
      <c r="L56" s="35"/>
      <c r="M56" s="84"/>
      <c r="AO56" s="8">
        <f>ROW()</f>
        <v>56</v>
      </c>
    </row>
    <row r="57" spans="2:41" s="9" customFormat="1" ht="13.9" customHeight="1" x14ac:dyDescent="0.2">
      <c r="I57" s="26"/>
      <c r="J57" s="26"/>
      <c r="K57" s="14">
        <f t="shared" ref="K57:P57" si="5">K7</f>
        <v>2007</v>
      </c>
      <c r="L57" s="14">
        <f t="shared" si="5"/>
        <v>2008</v>
      </c>
      <c r="M57" s="14">
        <f t="shared" si="5"/>
        <v>2009</v>
      </c>
      <c r="N57" s="14">
        <f t="shared" si="5"/>
        <v>2010</v>
      </c>
      <c r="O57" s="14">
        <f t="shared" si="5"/>
        <v>2011</v>
      </c>
      <c r="P57" s="14">
        <f t="shared" si="5"/>
        <v>2012</v>
      </c>
      <c r="Q57" s="14">
        <f t="shared" ref="Q57:AL57" si="6">Q7</f>
        <v>2013</v>
      </c>
      <c r="R57" s="14">
        <f t="shared" si="6"/>
        <v>2014</v>
      </c>
      <c r="S57" s="14">
        <f t="shared" si="6"/>
        <v>2015</v>
      </c>
      <c r="T57" s="14">
        <f t="shared" si="6"/>
        <v>2016</v>
      </c>
      <c r="U57" s="14">
        <f t="shared" si="6"/>
        <v>2017</v>
      </c>
      <c r="V57" s="14">
        <f t="shared" si="6"/>
        <v>2018</v>
      </c>
      <c r="W57" s="14">
        <f t="shared" si="6"/>
        <v>2019</v>
      </c>
      <c r="X57" s="14">
        <f t="shared" si="6"/>
        <v>2020</v>
      </c>
      <c r="Y57" s="14">
        <f t="shared" si="6"/>
        <v>2021</v>
      </c>
      <c r="Z57" s="14">
        <f t="shared" si="6"/>
        <v>2022</v>
      </c>
      <c r="AA57" s="14">
        <f t="shared" si="6"/>
        <v>2023</v>
      </c>
      <c r="AB57" s="14">
        <f t="shared" si="6"/>
        <v>2024</v>
      </c>
      <c r="AC57" s="14">
        <f t="shared" si="6"/>
        <v>2025</v>
      </c>
      <c r="AD57" s="14">
        <f t="shared" si="6"/>
        <v>2026</v>
      </c>
      <c r="AE57" s="14">
        <f t="shared" si="6"/>
        <v>2027</v>
      </c>
      <c r="AF57" s="14">
        <f t="shared" si="6"/>
        <v>2028</v>
      </c>
      <c r="AG57" s="14">
        <f t="shared" si="6"/>
        <v>2029</v>
      </c>
      <c r="AH57" s="14">
        <f t="shared" si="6"/>
        <v>2030</v>
      </c>
      <c r="AI57" s="14">
        <f t="shared" si="6"/>
        <v>2031</v>
      </c>
      <c r="AJ57" s="14">
        <f t="shared" si="6"/>
        <v>2032</v>
      </c>
      <c r="AK57" s="14">
        <f t="shared" si="6"/>
        <v>2033</v>
      </c>
      <c r="AL57" s="14">
        <f t="shared" si="6"/>
        <v>2034</v>
      </c>
      <c r="AM57" s="27"/>
      <c r="AO57" s="8">
        <f>ROW()</f>
        <v>57</v>
      </c>
    </row>
    <row r="58" spans="2:41" s="9" customFormat="1" ht="13.9" customHeight="1" x14ac:dyDescent="0.2">
      <c r="B58" s="9" t="s">
        <v>558</v>
      </c>
      <c r="I58" s="26"/>
      <c r="J58" s="26"/>
      <c r="M58" s="135"/>
      <c r="N58" s="457" t="str">
        <f>CONCATENATE("Initial row in this block is derived through a calculation on Row ",AO126, ". Remaining rows employ Rows ",AO17, ", ",AO18,",  ",AO31,", ",AO42, ", ",AO46, ", and ",AO55, ".")</f>
        <v>Initial row in this block is derived through a calculation on Row 126. Remaining rows employ Rows 17, 18,  31, 42, 46, and 55.</v>
      </c>
      <c r="O58" s="477"/>
      <c r="P58" s="27">
        <f t="shared" ref="P58:AL58" si="7">P126*P42</f>
        <v>-338.43214952843175</v>
      </c>
      <c r="Q58" s="27">
        <f t="shared" si="7"/>
        <v>-791.39899131885852</v>
      </c>
      <c r="R58" s="27">
        <f t="shared" si="7"/>
        <v>-1361.4659844372068</v>
      </c>
      <c r="S58" s="27">
        <f t="shared" si="7"/>
        <v>-2051.0440549787868</v>
      </c>
      <c r="T58" s="27">
        <f t="shared" si="7"/>
        <v>-2862.3799185072712</v>
      </c>
      <c r="U58" s="27">
        <f t="shared" si="7"/>
        <v>-3797.545962228643</v>
      </c>
      <c r="V58" s="27">
        <f t="shared" si="7"/>
        <v>-4858.4296066416036</v>
      </c>
      <c r="W58" s="27">
        <f t="shared" si="7"/>
        <v>-6046.7220638805138</v>
      </c>
      <c r="X58" s="27">
        <f t="shared" si="7"/>
        <v>-7363.9064097744922</v>
      </c>
      <c r="Y58" s="27">
        <f t="shared" si="7"/>
        <v>-8811.2448893756537</v>
      </c>
      <c r="Z58" s="27">
        <f t="shared" si="7"/>
        <v>-10053.872346359125</v>
      </c>
      <c r="AA58" s="27">
        <f t="shared" si="7"/>
        <v>-11321.767362172612</v>
      </c>
      <c r="AB58" s="27">
        <f t="shared" si="7"/>
        <v>-12616.078462979804</v>
      </c>
      <c r="AC58" s="27">
        <f t="shared" si="7"/>
        <v>-13935.115413503143</v>
      </c>
      <c r="AD58" s="27">
        <f t="shared" si="7"/>
        <v>-15277.090549961124</v>
      </c>
      <c r="AE58" s="27">
        <f t="shared" si="7"/>
        <v>-16640.117116018158</v>
      </c>
      <c r="AF58" s="27">
        <f t="shared" si="7"/>
        <v>-18022.207675572521</v>
      </c>
      <c r="AG58" s="27">
        <f t="shared" si="7"/>
        <v>-19421.27262363469</v>
      </c>
      <c r="AH58" s="27">
        <f t="shared" si="7"/>
        <v>-20835.118819843694</v>
      </c>
      <c r="AI58" s="27">
        <f t="shared" si="7"/>
        <v>-22261.448372750878</v>
      </c>
      <c r="AJ58" s="27">
        <f t="shared" si="7"/>
        <v>-23697.857606897731</v>
      </c>
      <c r="AK58" s="27">
        <f t="shared" si="7"/>
        <v>-25141.836248902404</v>
      </c>
      <c r="AL58" s="27">
        <f t="shared" si="7"/>
        <v>-26590.766873260378</v>
      </c>
      <c r="AO58" s="8">
        <f>ROW()</f>
        <v>58</v>
      </c>
    </row>
    <row r="59" spans="2:41" s="9" customFormat="1" ht="13.9" customHeight="1" x14ac:dyDescent="0.2">
      <c r="B59" s="9" t="s">
        <v>12</v>
      </c>
      <c r="M59" s="137"/>
      <c r="N59" s="478"/>
      <c r="O59" s="479"/>
      <c r="P59" s="27">
        <f>P42+P58</f>
        <v>135116.25494732501</v>
      </c>
      <c r="Q59" s="27">
        <f t="shared" ref="Q59:AL59" si="8">Q42+Q58</f>
        <v>135541.00852615695</v>
      </c>
      <c r="R59" s="27">
        <f t="shared" si="8"/>
        <v>135854.34941382412</v>
      </c>
      <c r="S59" s="27">
        <f t="shared" si="8"/>
        <v>136053.90353788342</v>
      </c>
      <c r="T59" s="27">
        <f t="shared" si="8"/>
        <v>136137.46127522798</v>
      </c>
      <c r="U59" s="27">
        <f t="shared" si="8"/>
        <v>136102.98757146063</v>
      </c>
      <c r="V59" s="27">
        <f t="shared" si="8"/>
        <v>135948.63258080094</v>
      </c>
      <c r="W59" s="27">
        <f t="shared" si="8"/>
        <v>135672.7429093098</v>
      </c>
      <c r="X59" s="27">
        <f t="shared" si="8"/>
        <v>135273.87354440795</v>
      </c>
      <c r="Y59" s="27">
        <f t="shared" si="8"/>
        <v>134750.80055093576</v>
      </c>
      <c r="Z59" s="27">
        <f t="shared" si="8"/>
        <v>134438.42764335134</v>
      </c>
      <c r="AA59" s="27">
        <f t="shared" si="8"/>
        <v>134106.81504818957</v>
      </c>
      <c r="AB59" s="27">
        <f t="shared" si="8"/>
        <v>133754.85329873752</v>
      </c>
      <c r="AC59" s="27">
        <f t="shared" si="8"/>
        <v>133384.27194282139</v>
      </c>
      <c r="AD59" s="27">
        <f t="shared" si="8"/>
        <v>132996.89821150905</v>
      </c>
      <c r="AE59" s="27">
        <f t="shared" si="8"/>
        <v>132594.65868481089</v>
      </c>
      <c r="AF59" s="27">
        <f t="shared" si="8"/>
        <v>132179.58088055329</v>
      </c>
      <c r="AG59" s="27">
        <f t="shared" si="8"/>
        <v>131753.79474517217</v>
      </c>
      <c r="AH59" s="27">
        <f t="shared" si="8"/>
        <v>131319.53402187992</v>
      </c>
      <c r="AI59" s="27">
        <f t="shared" si="8"/>
        <v>130879.13746807519</v>
      </c>
      <c r="AJ59" s="27">
        <f t="shared" si="8"/>
        <v>130435.04988997006</v>
      </c>
      <c r="AK59" s="27">
        <f t="shared" si="8"/>
        <v>129989.82295821933</v>
      </c>
      <c r="AL59" s="27">
        <f t="shared" si="8"/>
        <v>129546.1157638469</v>
      </c>
      <c r="AM59" s="27"/>
      <c r="AO59" s="8">
        <f>ROW()</f>
        <v>59</v>
      </c>
    </row>
    <row r="60" spans="2:41" s="9" customFormat="1" ht="13.9" customHeight="1" x14ac:dyDescent="0.2">
      <c r="B60" s="9" t="s">
        <v>553</v>
      </c>
      <c r="I60" s="26"/>
      <c r="J60" s="26"/>
      <c r="M60" s="179"/>
      <c r="N60" s="478"/>
      <c r="O60" s="479"/>
      <c r="P60" s="27">
        <f>P59*P55/Parameters!$J$15</f>
        <v>1187.2295001968887</v>
      </c>
      <c r="Q60" s="27">
        <f>Q59*Q55/Parameters!$J$15</f>
        <v>1189.7653382681031</v>
      </c>
      <c r="R60" s="27">
        <f>R59*R55/Parameters!$J$15</f>
        <v>1191.1981712574634</v>
      </c>
      <c r="S60" s="27">
        <f>S59*S55/Parameters!$J$15</f>
        <v>1191.4980508015676</v>
      </c>
      <c r="T60" s="27">
        <f>T59*T55/Parameters!$J$15</f>
        <v>1190.6360321386439</v>
      </c>
      <c r="U60" s="27">
        <f>U59*U55/Parameters!$J$15</f>
        <v>1188.5842776242969</v>
      </c>
      <c r="V60" s="27">
        <f>V59*V55/Parameters!$J$15</f>
        <v>1185.316172985674</v>
      </c>
      <c r="W60" s="27">
        <f>W59*W55/Parameters!$J$15</f>
        <v>1180.8064584047606</v>
      </c>
      <c r="X60" s="27">
        <f>X59*X55/Parameters!$J$15</f>
        <v>1175.0313766505849</v>
      </c>
      <c r="Y60" s="27">
        <f>Y59*Y55/Parameters!$J$15</f>
        <v>1167.968840578965</v>
      </c>
      <c r="Z60" s="27">
        <f>Z59*Z55/Parameters!$J$15</f>
        <v>1162.5031245359289</v>
      </c>
      <c r="AA60" s="27">
        <f>AA59*AA55/Parameters!$J$15</f>
        <v>1156.6166362774225</v>
      </c>
      <c r="AB60" s="27">
        <f>AB59*AB55/Parameters!$J$15</f>
        <v>1150.2779791073162</v>
      </c>
      <c r="AC60" s="27">
        <f>AC59*AC55/Parameters!$J$15</f>
        <v>1143.4785336336001</v>
      </c>
      <c r="AD60" s="27">
        <f>AD59*AD55/Parameters!$J$15</f>
        <v>1136.2085593854958</v>
      </c>
      <c r="AE60" s="27">
        <f>AE59*AE55/Parameters!$J$15</f>
        <v>1132.7721785427577</v>
      </c>
      <c r="AF60" s="27">
        <f>AF59*AF55/Parameters!$J$15</f>
        <v>1129.2261187447436</v>
      </c>
      <c r="AG60" s="27">
        <f>AG59*AG55/Parameters!$J$15</f>
        <v>1125.5885763810238</v>
      </c>
      <c r="AH60" s="27">
        <f>AH59*AH55/Parameters!$J$15</f>
        <v>1121.8786345895626</v>
      </c>
      <c r="AI60" s="27">
        <f>AI59*AI55/Parameters!$J$15</f>
        <v>1118.1162736571966</v>
      </c>
      <c r="AJ60" s="27">
        <f>AJ59*AJ55/Parameters!$J$15</f>
        <v>1114.3223798585807</v>
      </c>
      <c r="AK60" s="27">
        <f>AK59*AK55/Parameters!$J$15</f>
        <v>1110.5187524242051</v>
      </c>
      <c r="AL60" s="27">
        <f>AL59*AL55/Parameters!$J$15</f>
        <v>1106.728108289745</v>
      </c>
      <c r="AO60" s="8">
        <f>ROW()</f>
        <v>60</v>
      </c>
    </row>
    <row r="61" spans="2:41" s="9" customFormat="1" ht="13.9" customHeight="1" x14ac:dyDescent="0.2">
      <c r="B61" s="9" t="s">
        <v>587</v>
      </c>
      <c r="I61" s="26"/>
      <c r="J61" s="26"/>
      <c r="M61" s="179"/>
      <c r="N61" s="478"/>
      <c r="O61" s="479"/>
      <c r="P61" s="28">
        <f t="shared" ref="P61:AL61" si="9">P60-P46</f>
        <v>-14.995965195949111</v>
      </c>
      <c r="Q61" s="28">
        <f t="shared" si="9"/>
        <v>-20.250317806087651</v>
      </c>
      <c r="R61" s="28">
        <f t="shared" si="9"/>
        <v>-26.658154441172883</v>
      </c>
      <c r="S61" s="28">
        <f t="shared" si="9"/>
        <v>-34.249750558486767</v>
      </c>
      <c r="T61" s="28">
        <f t="shared" si="9"/>
        <v>-43.054380133186214</v>
      </c>
      <c r="U61" s="28">
        <f t="shared" si="9"/>
        <v>-53.100212156292628</v>
      </c>
      <c r="V61" s="28">
        <f t="shared" si="9"/>
        <v>-64.414194394346396</v>
      </c>
      <c r="W61" s="28">
        <f t="shared" si="9"/>
        <v>-77.021922320024942</v>
      </c>
      <c r="X61" s="28">
        <f t="shared" si="9"/>
        <v>-90.947490993941528</v>
      </c>
      <c r="Y61" s="28">
        <f t="shared" si="9"/>
        <v>-106.21332757899017</v>
      </c>
      <c r="Z61" s="28">
        <f t="shared" si="9"/>
        <v>-119.93549995111152</v>
      </c>
      <c r="AA61" s="28">
        <f t="shared" si="9"/>
        <v>-134.13194479386129</v>
      </c>
      <c r="AB61" s="28">
        <f t="shared" si="9"/>
        <v>-148.83440547477198</v>
      </c>
      <c r="AC61" s="28">
        <f t="shared" si="9"/>
        <v>-164.05185030362145</v>
      </c>
      <c r="AD61" s="28">
        <f t="shared" si="9"/>
        <v>-179.79437092987541</v>
      </c>
      <c r="AE61" s="28">
        <f t="shared" si="9"/>
        <v>-191.7581986280386</v>
      </c>
      <c r="AF61" s="28">
        <f t="shared" si="9"/>
        <v>-203.88696150332748</v>
      </c>
      <c r="AG61" s="28">
        <f t="shared" si="9"/>
        <v>-216.16282121590211</v>
      </c>
      <c r="AH61" s="28">
        <f t="shared" si="9"/>
        <v>-228.56705499762393</v>
      </c>
      <c r="AI61" s="28">
        <f t="shared" si="9"/>
        <v>-241.08004526660761</v>
      </c>
      <c r="AJ61" s="28">
        <f t="shared" si="9"/>
        <v>-253.68127080340923</v>
      </c>
      <c r="AK61" s="28">
        <f t="shared" si="9"/>
        <v>-266.34929979823733</v>
      </c>
      <c r="AL61" s="28">
        <f t="shared" si="9"/>
        <v>-279.06178511693088</v>
      </c>
      <c r="AO61" s="8">
        <f>ROW()</f>
        <v>61</v>
      </c>
    </row>
    <row r="62" spans="2:41" s="9" customFormat="1" ht="13.9" customHeight="1" x14ac:dyDescent="0.2">
      <c r="B62" s="9" t="s">
        <v>588</v>
      </c>
      <c r="I62" s="26"/>
      <c r="J62" s="26"/>
      <c r="M62" s="179"/>
      <c r="N62" s="478"/>
      <c r="O62" s="479"/>
      <c r="P62" s="28">
        <f>P60-$M$46</f>
        <v>-36.847219767716069</v>
      </c>
      <c r="Q62" s="28">
        <f t="shared" ref="Q62:AL62" si="10">Q60-$M$46</f>
        <v>-34.311381696501712</v>
      </c>
      <c r="R62" s="28">
        <f t="shared" si="10"/>
        <v>-32.878548707141363</v>
      </c>
      <c r="S62" s="28">
        <f t="shared" si="10"/>
        <v>-32.578669163037148</v>
      </c>
      <c r="T62" s="28">
        <f t="shared" si="10"/>
        <v>-33.440687825960822</v>
      </c>
      <c r="U62" s="28">
        <f t="shared" si="10"/>
        <v>-35.492442340307889</v>
      </c>
      <c r="V62" s="28">
        <f t="shared" si="10"/>
        <v>-38.760546978930734</v>
      </c>
      <c r="W62" s="28">
        <f t="shared" si="10"/>
        <v>-43.27026155984413</v>
      </c>
      <c r="X62" s="28">
        <f t="shared" si="10"/>
        <v>-49.045343314019874</v>
      </c>
      <c r="Y62" s="28">
        <f t="shared" si="10"/>
        <v>-56.107879385639762</v>
      </c>
      <c r="Z62" s="28">
        <f t="shared" si="10"/>
        <v>-61.573595428675844</v>
      </c>
      <c r="AA62" s="28">
        <f t="shared" si="10"/>
        <v>-67.460083687182305</v>
      </c>
      <c r="AB62" s="28">
        <f t="shared" si="10"/>
        <v>-73.798740857288522</v>
      </c>
      <c r="AC62" s="28">
        <f t="shared" si="10"/>
        <v>-80.598186331004626</v>
      </c>
      <c r="AD62" s="28">
        <f t="shared" si="10"/>
        <v>-87.868160579108917</v>
      </c>
      <c r="AE62" s="28">
        <f t="shared" si="10"/>
        <v>-91.304541421847034</v>
      </c>
      <c r="AF62" s="28">
        <f t="shared" si="10"/>
        <v>-94.850601219861119</v>
      </c>
      <c r="AG62" s="28">
        <f t="shared" si="10"/>
        <v>-98.48814358358095</v>
      </c>
      <c r="AH62" s="28">
        <f t="shared" si="10"/>
        <v>-102.19808537504218</v>
      </c>
      <c r="AI62" s="28">
        <f t="shared" si="10"/>
        <v>-105.96044630740812</v>
      </c>
      <c r="AJ62" s="28">
        <f t="shared" si="10"/>
        <v>-109.75434010602407</v>
      </c>
      <c r="AK62" s="28">
        <f t="shared" si="10"/>
        <v>-113.55796754039966</v>
      </c>
      <c r="AL62" s="28">
        <f t="shared" si="10"/>
        <v>-117.34861167485974</v>
      </c>
      <c r="AO62" s="8">
        <f>ROW()</f>
        <v>62</v>
      </c>
    </row>
    <row r="63" spans="2:41" s="9" customFormat="1" ht="13.9" customHeight="1" x14ac:dyDescent="0.2">
      <c r="B63" s="9" t="s">
        <v>662</v>
      </c>
      <c r="I63" s="26"/>
      <c r="J63" s="26"/>
      <c r="M63" s="179"/>
      <c r="N63" s="478"/>
      <c r="O63" s="479"/>
      <c r="P63" s="378">
        <f>ROUND(P60*P18,-2)/1000</f>
        <v>11.9</v>
      </c>
      <c r="Q63" s="378">
        <f t="shared" ref="Q63:AL63" si="11">ROUND(Q60*Q18,-2)/1000</f>
        <v>13.1</v>
      </c>
      <c r="R63" s="378">
        <f t="shared" si="11"/>
        <v>14.4</v>
      </c>
      <c r="S63" s="378">
        <f t="shared" si="11"/>
        <v>15.9</v>
      </c>
      <c r="T63" s="378">
        <f t="shared" si="11"/>
        <v>17.399999999999999</v>
      </c>
      <c r="U63" s="378">
        <f t="shared" si="11"/>
        <v>19.100000000000001</v>
      </c>
      <c r="V63" s="378">
        <f t="shared" si="11"/>
        <v>21</v>
      </c>
      <c r="W63" s="378">
        <f t="shared" si="11"/>
        <v>23</v>
      </c>
      <c r="X63" s="378">
        <f t="shared" si="11"/>
        <v>25.2</v>
      </c>
      <c r="Y63" s="378">
        <f t="shared" si="11"/>
        <v>27.5</v>
      </c>
      <c r="Z63" s="378">
        <f t="shared" si="11"/>
        <v>30.2</v>
      </c>
      <c r="AA63" s="378">
        <f t="shared" si="11"/>
        <v>33</v>
      </c>
      <c r="AB63" s="378">
        <f t="shared" si="11"/>
        <v>36.1</v>
      </c>
      <c r="AC63" s="378">
        <f t="shared" si="11"/>
        <v>39.5</v>
      </c>
      <c r="AD63" s="378">
        <f t="shared" si="11"/>
        <v>43.1</v>
      </c>
      <c r="AE63" s="378">
        <f t="shared" si="11"/>
        <v>43</v>
      </c>
      <c r="AF63" s="378">
        <f t="shared" si="11"/>
        <v>42.9</v>
      </c>
      <c r="AG63" s="378">
        <f t="shared" si="11"/>
        <v>42.7</v>
      </c>
      <c r="AH63" s="378">
        <f t="shared" si="11"/>
        <v>42.6</v>
      </c>
      <c r="AI63" s="378">
        <f t="shared" si="11"/>
        <v>42.5</v>
      </c>
      <c r="AJ63" s="378">
        <f t="shared" si="11"/>
        <v>42.3</v>
      </c>
      <c r="AK63" s="378">
        <f t="shared" si="11"/>
        <v>42.2</v>
      </c>
      <c r="AL63" s="378">
        <f t="shared" si="11"/>
        <v>42</v>
      </c>
      <c r="AM63" s="27"/>
      <c r="AO63" s="8">
        <f>ROW()</f>
        <v>63</v>
      </c>
    </row>
    <row r="64" spans="2:41" s="9" customFormat="1" ht="13.9" customHeight="1" x14ac:dyDescent="0.2">
      <c r="B64" s="9" t="s">
        <v>660</v>
      </c>
      <c r="I64" s="26"/>
      <c r="J64" s="26"/>
      <c r="M64" s="179"/>
      <c r="N64" s="478"/>
      <c r="O64" s="479"/>
      <c r="P64" s="378">
        <f>ROUND(P59*$J$28*P17/100,-2)/1000</f>
        <v>8.1</v>
      </c>
      <c r="Q64" s="378">
        <f t="shared" ref="Q64:AL64" si="12">ROUND(Q59*$J$28*Q17/100,-2)/1000</f>
        <v>16.3</v>
      </c>
      <c r="R64" s="378">
        <f t="shared" si="12"/>
        <v>24.5</v>
      </c>
      <c r="S64" s="378">
        <f t="shared" si="12"/>
        <v>32.700000000000003</v>
      </c>
      <c r="T64" s="378">
        <f t="shared" si="12"/>
        <v>40.799999999999997</v>
      </c>
      <c r="U64" s="378">
        <f t="shared" si="12"/>
        <v>49</v>
      </c>
      <c r="V64" s="378">
        <f t="shared" si="12"/>
        <v>57.1</v>
      </c>
      <c r="W64" s="378">
        <f t="shared" si="12"/>
        <v>65.099999999999994</v>
      </c>
      <c r="X64" s="378">
        <f t="shared" si="12"/>
        <v>73</v>
      </c>
      <c r="Y64" s="378">
        <f t="shared" si="12"/>
        <v>80.900000000000006</v>
      </c>
      <c r="Z64" s="378">
        <f t="shared" si="12"/>
        <v>88.7</v>
      </c>
      <c r="AA64" s="378">
        <f t="shared" si="12"/>
        <v>96.6</v>
      </c>
      <c r="AB64" s="378">
        <f t="shared" si="12"/>
        <v>104.3</v>
      </c>
      <c r="AC64" s="378">
        <f t="shared" si="12"/>
        <v>112</v>
      </c>
      <c r="AD64" s="378">
        <f t="shared" si="12"/>
        <v>119.7</v>
      </c>
      <c r="AE64" s="378">
        <f t="shared" si="12"/>
        <v>119.3</v>
      </c>
      <c r="AF64" s="378">
        <f t="shared" si="12"/>
        <v>119</v>
      </c>
      <c r="AG64" s="378">
        <f t="shared" si="12"/>
        <v>118.6</v>
      </c>
      <c r="AH64" s="378">
        <f t="shared" si="12"/>
        <v>118.2</v>
      </c>
      <c r="AI64" s="378">
        <f t="shared" si="12"/>
        <v>117.8</v>
      </c>
      <c r="AJ64" s="378">
        <f t="shared" si="12"/>
        <v>117.4</v>
      </c>
      <c r="AK64" s="378">
        <f t="shared" si="12"/>
        <v>117</v>
      </c>
      <c r="AL64" s="378">
        <f t="shared" si="12"/>
        <v>116.6</v>
      </c>
      <c r="AO64" s="8">
        <f>ROW()</f>
        <v>64</v>
      </c>
    </row>
    <row r="65" spans="1:41" s="9" customFormat="1" ht="13.9" customHeight="1" x14ac:dyDescent="0.2">
      <c r="B65" s="9" t="s">
        <v>661</v>
      </c>
      <c r="I65" s="26"/>
      <c r="J65" s="26"/>
      <c r="M65" s="179"/>
      <c r="N65" s="461"/>
      <c r="O65" s="462"/>
      <c r="P65" s="378">
        <f>P63+P64</f>
        <v>20</v>
      </c>
      <c r="Q65" s="378">
        <f t="shared" ref="Q65:AL65" si="13">Q63+Q64</f>
        <v>29.4</v>
      </c>
      <c r="R65" s="378">
        <f t="shared" si="13"/>
        <v>38.9</v>
      </c>
      <c r="S65" s="378">
        <f t="shared" si="13"/>
        <v>48.6</v>
      </c>
      <c r="T65" s="378">
        <f t="shared" si="13"/>
        <v>58.199999999999996</v>
      </c>
      <c r="U65" s="378">
        <f t="shared" si="13"/>
        <v>68.099999999999994</v>
      </c>
      <c r="V65" s="378">
        <f t="shared" si="13"/>
        <v>78.099999999999994</v>
      </c>
      <c r="W65" s="378">
        <f t="shared" si="13"/>
        <v>88.1</v>
      </c>
      <c r="X65" s="378">
        <f t="shared" si="13"/>
        <v>98.2</v>
      </c>
      <c r="Y65" s="378">
        <f t="shared" si="13"/>
        <v>108.4</v>
      </c>
      <c r="Z65" s="378">
        <f t="shared" si="13"/>
        <v>118.9</v>
      </c>
      <c r="AA65" s="378">
        <f t="shared" si="13"/>
        <v>129.6</v>
      </c>
      <c r="AB65" s="378">
        <f t="shared" si="13"/>
        <v>140.4</v>
      </c>
      <c r="AC65" s="378">
        <f t="shared" si="13"/>
        <v>151.5</v>
      </c>
      <c r="AD65" s="378">
        <f t="shared" si="13"/>
        <v>162.80000000000001</v>
      </c>
      <c r="AE65" s="378">
        <f t="shared" si="13"/>
        <v>162.30000000000001</v>
      </c>
      <c r="AF65" s="378">
        <f t="shared" si="13"/>
        <v>161.9</v>
      </c>
      <c r="AG65" s="378">
        <f t="shared" si="13"/>
        <v>161.30000000000001</v>
      </c>
      <c r="AH65" s="378">
        <f t="shared" si="13"/>
        <v>160.80000000000001</v>
      </c>
      <c r="AI65" s="378">
        <f t="shared" si="13"/>
        <v>160.30000000000001</v>
      </c>
      <c r="AJ65" s="378">
        <f t="shared" si="13"/>
        <v>159.69999999999999</v>
      </c>
      <c r="AK65" s="378">
        <f t="shared" si="13"/>
        <v>159.19999999999999</v>
      </c>
      <c r="AL65" s="378">
        <f t="shared" si="13"/>
        <v>158.6</v>
      </c>
      <c r="AM65" s="27"/>
      <c r="AO65" s="8">
        <f>ROW()</f>
        <v>65</v>
      </c>
    </row>
    <row r="66" spans="1:41" s="9" customFormat="1" ht="13.9" customHeight="1" x14ac:dyDescent="0.2">
      <c r="A66"/>
      <c r="I66" s="26"/>
      <c r="J66" s="26"/>
      <c r="M66" s="179"/>
      <c r="N66" s="179"/>
      <c r="O66" s="179"/>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O66" s="8">
        <f>ROW()</f>
        <v>66</v>
      </c>
    </row>
    <row r="67" spans="1:41" ht="13.9" customHeight="1" x14ac:dyDescent="0.2">
      <c r="B67" t="s">
        <v>205</v>
      </c>
      <c r="K67" s="16"/>
      <c r="L67" s="16"/>
      <c r="M67" s="84"/>
      <c r="P67" s="16">
        <f t="shared" ref="P67:AL67" si="14">P51/O51-1</f>
        <v>6.4537470703045496E-2</v>
      </c>
      <c r="Q67" s="16">
        <f t="shared" si="14"/>
        <v>2.0675936940472983E-2</v>
      </c>
      <c r="R67" s="16">
        <f t="shared" si="14"/>
        <v>2.0955896758900083E-2</v>
      </c>
      <c r="S67" s="16">
        <f t="shared" si="14"/>
        <v>2.125539705005175E-2</v>
      </c>
      <c r="T67" s="16">
        <f t="shared" si="14"/>
        <v>2.1575504200075368E-2</v>
      </c>
      <c r="U67" s="16">
        <f t="shared" si="14"/>
        <v>2.191729183632396E-2</v>
      </c>
      <c r="V67" s="16">
        <f t="shared" si="14"/>
        <v>2.2281830552616233E-2</v>
      </c>
      <c r="W67" s="16">
        <f t="shared" si="14"/>
        <v>2.2670175615519872E-2</v>
      </c>
      <c r="X67" s="16">
        <f t="shared" si="14"/>
        <v>2.3083352435083082E-2</v>
      </c>
      <c r="Y67" s="16">
        <f t="shared" si="14"/>
        <v>2.3522339585477781E-2</v>
      </c>
      <c r="Z67" s="16">
        <f t="shared" si="14"/>
        <v>2.3988049170525771E-2</v>
      </c>
      <c r="AA67" s="16">
        <f t="shared" si="14"/>
        <v>2.4481304348025423E-2</v>
      </c>
      <c r="AB67" s="16">
        <f t="shared" si="14"/>
        <v>2.5002813857234685E-2</v>
      </c>
      <c r="AC67" s="16">
        <f t="shared" si="14"/>
        <v>2.55531434381151E-2</v>
      </c>
      <c r="AD67" s="16">
        <f t="shared" si="14"/>
        <v>2.6132684091248359E-2</v>
      </c>
      <c r="AE67" s="16">
        <f t="shared" si="14"/>
        <v>1.49412375439677E-2</v>
      </c>
      <c r="AF67" s="16">
        <f t="shared" si="14"/>
        <v>1.4971545169438327E-2</v>
      </c>
      <c r="AG67" s="16">
        <f t="shared" si="14"/>
        <v>1.5001466306897138E-2</v>
      </c>
      <c r="AH67" s="16">
        <f t="shared" si="14"/>
        <v>1.5031004132068482E-2</v>
      </c>
      <c r="AI67" s="16">
        <f t="shared" si="14"/>
        <v>1.5060161847356479E-2</v>
      </c>
      <c r="AJ67" s="16">
        <f t="shared" si="14"/>
        <v>1.50889426798968E-2</v>
      </c>
      <c r="AK67" s="16">
        <f t="shared" si="14"/>
        <v>1.5117349879648856E-2</v>
      </c>
      <c r="AL67" s="16">
        <f t="shared" si="14"/>
        <v>1.5145386717531739E-2</v>
      </c>
      <c r="AO67" s="8">
        <f>ROW()</f>
        <v>67</v>
      </c>
    </row>
    <row r="68" spans="1:41" ht="13.9" customHeight="1" x14ac:dyDescent="0.2">
      <c r="M68" s="84"/>
      <c r="AO68" s="8">
        <f>ROW()</f>
        <v>68</v>
      </c>
    </row>
    <row r="69" spans="1:41" ht="13.9" customHeight="1" x14ac:dyDescent="0.2">
      <c r="B69" s="66" t="s">
        <v>231</v>
      </c>
      <c r="I69" s="66">
        <f>-Parameters!F45</f>
        <v>0.4</v>
      </c>
      <c r="J69" s="66"/>
      <c r="M69" s="84"/>
      <c r="AO69" s="8">
        <f>ROW()</f>
        <v>69</v>
      </c>
    </row>
    <row r="70" spans="1:41" ht="13.9" customHeight="1" x14ac:dyDescent="0.2">
      <c r="B70" s="3" t="s">
        <v>204</v>
      </c>
      <c r="M70" s="84"/>
      <c r="AO70" s="8">
        <f>ROW()</f>
        <v>70</v>
      </c>
    </row>
    <row r="71" spans="1:41" ht="13.9" customHeight="1" x14ac:dyDescent="0.2">
      <c r="M71" s="84"/>
      <c r="AO71" s="8">
        <f>ROW()</f>
        <v>71</v>
      </c>
    </row>
    <row r="72" spans="1:41" ht="13.9" customHeight="1" x14ac:dyDescent="0.2">
      <c r="B72" s="3"/>
      <c r="I72" s="5"/>
      <c r="J72" s="5"/>
      <c r="M72" s="84"/>
      <c r="AA72" s="6"/>
      <c r="AO72" s="8">
        <f>ROW()</f>
        <v>72</v>
      </c>
    </row>
    <row r="73" spans="1:41" ht="13.9" customHeight="1" x14ac:dyDescent="0.2">
      <c r="A73" s="74"/>
      <c r="B73" s="66" t="s">
        <v>197</v>
      </c>
      <c r="I73" s="65">
        <v>10</v>
      </c>
      <c r="J73" s="65"/>
      <c r="M73" s="84"/>
      <c r="R73" s="448" t="s">
        <v>302</v>
      </c>
      <c r="S73" s="449"/>
      <c r="T73" s="449"/>
      <c r="U73" s="449"/>
      <c r="V73" s="449"/>
      <c r="W73" s="449"/>
      <c r="X73" s="449"/>
      <c r="Y73" s="449"/>
      <c r="Z73" s="449"/>
      <c r="AA73" s="449"/>
      <c r="AB73" s="449"/>
      <c r="AO73" s="8">
        <f>ROW()</f>
        <v>73</v>
      </c>
    </row>
    <row r="74" spans="1:41" ht="13.9" customHeight="1" x14ac:dyDescent="0.2">
      <c r="B74" s="3"/>
      <c r="M74" s="84"/>
      <c r="R74" s="449"/>
      <c r="S74" s="449"/>
      <c r="T74" s="449"/>
      <c r="U74" s="449"/>
      <c r="V74" s="449"/>
      <c r="W74" s="449"/>
      <c r="X74" s="449"/>
      <c r="Y74" s="449"/>
      <c r="Z74" s="449"/>
      <c r="AA74" s="449"/>
      <c r="AB74" s="449"/>
      <c r="AO74" s="8">
        <f>ROW()</f>
        <v>74</v>
      </c>
    </row>
    <row r="75" spans="1:41" ht="13.9" customHeight="1" x14ac:dyDescent="0.2">
      <c r="A75" s="6"/>
      <c r="M75" s="84"/>
      <c r="R75" s="449"/>
      <c r="S75" s="449"/>
      <c r="T75" s="449"/>
      <c r="U75" s="449"/>
      <c r="V75" s="449"/>
      <c r="W75" s="449"/>
      <c r="X75" s="449"/>
      <c r="Y75" s="449"/>
      <c r="Z75" s="449"/>
      <c r="AA75" s="449"/>
      <c r="AB75" s="449"/>
      <c r="AO75" s="8">
        <f>ROW()</f>
        <v>75</v>
      </c>
    </row>
    <row r="76" spans="1:41" s="74" customFormat="1" ht="13.9" customHeight="1" x14ac:dyDescent="0.2">
      <c r="A76" s="6"/>
      <c r="B76" s="74" t="s">
        <v>190</v>
      </c>
      <c r="I76" s="74">
        <f>P7</f>
        <v>2012</v>
      </c>
      <c r="M76" s="207"/>
      <c r="N76" s="207"/>
      <c r="O76" s="207"/>
      <c r="R76" s="449"/>
      <c r="S76" s="449"/>
      <c r="T76" s="449"/>
      <c r="U76" s="449"/>
      <c r="V76" s="449"/>
      <c r="W76" s="449"/>
      <c r="X76" s="449"/>
      <c r="Y76" s="449"/>
      <c r="Z76" s="449"/>
      <c r="AA76" s="449"/>
      <c r="AB76" s="449"/>
      <c r="AD76"/>
      <c r="AE76"/>
      <c r="AF76"/>
      <c r="AO76" s="8">
        <f>ROW()</f>
        <v>76</v>
      </c>
    </row>
    <row r="77" spans="1:41" ht="13.9" customHeight="1" x14ac:dyDescent="0.2">
      <c r="A77" s="6"/>
      <c r="M77" s="84"/>
      <c r="AO77" s="8">
        <f>ROW()</f>
        <v>77</v>
      </c>
    </row>
    <row r="78" spans="1:41" s="38" customFormat="1" ht="13.9" customHeight="1" x14ac:dyDescent="0.2">
      <c r="A78" s="6"/>
      <c r="B78" s="6" t="s">
        <v>232</v>
      </c>
      <c r="C78" s="6"/>
      <c r="D78" s="6"/>
      <c r="E78" s="6"/>
      <c r="F78" s="6"/>
      <c r="G78" s="6"/>
      <c r="H78" s="6"/>
      <c r="I78">
        <f>I76</f>
        <v>2012</v>
      </c>
      <c r="J78"/>
      <c r="M78" s="215"/>
      <c r="N78" s="215"/>
      <c r="O78" s="215"/>
      <c r="P78" s="6">
        <f>IF(P7&gt;=Summary!$J$98+$I$73,$I$69,((P7-$I$76+1)/$I$73)*$I$69)</f>
        <v>4.0000000000000008E-2</v>
      </c>
      <c r="Q78" s="6">
        <f>IF(Q7&gt;=Summary!$J$98+$I$73,$I$69,((Q7-$I$76+1)/$I$73)*$I$69)</f>
        <v>8.0000000000000016E-2</v>
      </c>
      <c r="R78" s="6">
        <f>IF(R7&gt;=Summary!$J$98+$I$73,$I$69,((R7-$I$76+1)/$I$73)*$I$69)</f>
        <v>0.12</v>
      </c>
      <c r="S78" s="6">
        <f>IF(S7&gt;=Summary!$J$98+$I$73,$I$69,((S7-$I$76+1)/$I$73)*$I$69)</f>
        <v>0.16000000000000003</v>
      </c>
      <c r="T78" s="6">
        <f>IF(T7&gt;=Summary!$J$98+$I$73,$I$69,((T7-$I$76+1)/$I$73)*$I$69)</f>
        <v>0.2</v>
      </c>
      <c r="U78" s="6">
        <f>IF(U7&gt;=Summary!$J$98+$I$73,$I$69,((U7-$I$76+1)/$I$73)*$I$69)</f>
        <v>0.24</v>
      </c>
      <c r="V78" s="6">
        <f>IF(V7&gt;=Summary!$J$98+$I$73,$I$69,((V7-$I$76+1)/$I$73)*$I$69)</f>
        <v>0.27999999999999997</v>
      </c>
      <c r="W78" s="6">
        <f>IF(W7&gt;=Summary!$J$98+$I$73,$I$69,((W7-$I$76+1)/$I$73)*$I$69)</f>
        <v>0.32000000000000006</v>
      </c>
      <c r="X78" s="6">
        <f>IF(X7&gt;=Summary!$J$98+$I$73,$I$69,((X7-$I$76+1)/$I$73)*$I$69)</f>
        <v>0.36000000000000004</v>
      </c>
      <c r="Y78" s="6">
        <f>IF(Y7&gt;=Summary!$J$98+$I$73,$I$69,((Y7-$I$76+1)/$I$73)*$I$69)</f>
        <v>0.4</v>
      </c>
      <c r="Z78" s="6">
        <f>IF(Z7&gt;=Summary!$J$98+$I$73,$I$69,((Z7-$I$76+1)/$I$73)*$I$69)</f>
        <v>0.4</v>
      </c>
      <c r="AA78" s="6">
        <f>IF(AA7&gt;=Summary!$J$98+$I$73,$I$69,((AA7-$I$76+1)/$I$73)*$I$69)</f>
        <v>0.4</v>
      </c>
      <c r="AB78" s="6">
        <f>IF(AB7&gt;=Summary!$J$98+$I$73,$I$69,((AB7-$I$76+1)/$I$73)*$I$69)</f>
        <v>0.4</v>
      </c>
      <c r="AC78" s="6">
        <f>IF(AC7&gt;=Summary!$J$98+$I$73,$I$69,((AC7-$I$76+1)/$I$73)*$I$69)</f>
        <v>0.4</v>
      </c>
      <c r="AD78" s="6">
        <f>IF(AD7&gt;=Summary!$J$98+$I$73,$I$69,((AD7-$I$76+1)/$I$73)*$I$69)</f>
        <v>0.4</v>
      </c>
      <c r="AE78" s="6">
        <f>IF(AE7&gt;=Summary!$J$98+$I$73,$I$69,((AE7-$I$76+1)/$I$73)*$I$69)</f>
        <v>0.4</v>
      </c>
      <c r="AF78" s="6">
        <f>IF(AF7&gt;=Summary!$J$98+$I$73,$I$69,((AF7-$I$76+1)/$I$73)*$I$69)</f>
        <v>0.4</v>
      </c>
      <c r="AG78" s="6">
        <f>IF(AG7&gt;=Summary!$J$98+$I$73,$I$69,((AG7-$I$76+1)/$I$73)*$I$69)</f>
        <v>0.4</v>
      </c>
      <c r="AH78" s="6">
        <f>IF(AH7&gt;=Summary!$J$98+$I$73,$I$69,((AH7-$I$76+1)/$I$73)*$I$69)</f>
        <v>0.4</v>
      </c>
      <c r="AI78" s="6">
        <f>IF(AI7&gt;=Summary!$J$98+$I$73,$I$69,((AI7-$I$76+1)/$I$73)*$I$69)</f>
        <v>0.4</v>
      </c>
      <c r="AJ78" s="6">
        <f>IF(AJ7&gt;=Summary!$J$98+$I$73,$I$69,((AJ7-$I$76+1)/$I$73)*$I$69)</f>
        <v>0.4</v>
      </c>
      <c r="AK78" s="6">
        <f>IF(AK7&gt;=Summary!$J$98+$I$73,$I$69,((AK7-$I$76+1)/$I$73)*$I$69)</f>
        <v>0.4</v>
      </c>
      <c r="AL78" s="6">
        <f>IF(AL7&gt;=Summary!$J$98+$I$73,$I$69,((AL7-$I$76+1)/$I$73)*$I$69)</f>
        <v>0.4</v>
      </c>
      <c r="AO78" s="8">
        <f>ROW()</f>
        <v>78</v>
      </c>
    </row>
    <row r="79" spans="1:41" s="38" customFormat="1" ht="13.9" customHeight="1" x14ac:dyDescent="0.2">
      <c r="A79" s="6"/>
      <c r="B79" s="6" t="s">
        <v>232</v>
      </c>
      <c r="G79"/>
      <c r="H79"/>
      <c r="I79">
        <f>I78+1</f>
        <v>2013</v>
      </c>
      <c r="J79"/>
      <c r="M79" s="215"/>
      <c r="N79" s="215"/>
      <c r="O79" s="215"/>
      <c r="P79" s="6"/>
      <c r="Q79" s="6">
        <f t="shared" ref="Q79:AL90" si="15">P78</f>
        <v>4.0000000000000008E-2</v>
      </c>
      <c r="R79" s="6">
        <f t="shared" si="15"/>
        <v>8.0000000000000016E-2</v>
      </c>
      <c r="S79" s="6">
        <f t="shared" si="15"/>
        <v>0.12</v>
      </c>
      <c r="T79" s="6">
        <f t="shared" si="15"/>
        <v>0.16000000000000003</v>
      </c>
      <c r="U79" s="6">
        <f t="shared" si="15"/>
        <v>0.2</v>
      </c>
      <c r="V79" s="6">
        <f t="shared" si="15"/>
        <v>0.24</v>
      </c>
      <c r="W79" s="6">
        <f t="shared" si="15"/>
        <v>0.27999999999999997</v>
      </c>
      <c r="X79" s="6">
        <f t="shared" si="15"/>
        <v>0.32000000000000006</v>
      </c>
      <c r="Y79" s="6">
        <f t="shared" si="15"/>
        <v>0.36000000000000004</v>
      </c>
      <c r="Z79" s="6">
        <f t="shared" si="15"/>
        <v>0.4</v>
      </c>
      <c r="AA79" s="6">
        <f t="shared" si="15"/>
        <v>0.4</v>
      </c>
      <c r="AB79" s="6">
        <f t="shared" si="15"/>
        <v>0.4</v>
      </c>
      <c r="AC79" s="6">
        <f t="shared" si="15"/>
        <v>0.4</v>
      </c>
      <c r="AD79" s="6">
        <f t="shared" si="15"/>
        <v>0.4</v>
      </c>
      <c r="AE79" s="6">
        <f t="shared" si="15"/>
        <v>0.4</v>
      </c>
      <c r="AF79" s="6">
        <f t="shared" si="15"/>
        <v>0.4</v>
      </c>
      <c r="AG79" s="6">
        <f t="shared" si="15"/>
        <v>0.4</v>
      </c>
      <c r="AH79" s="6">
        <f t="shared" si="15"/>
        <v>0.4</v>
      </c>
      <c r="AI79" s="6">
        <f t="shared" si="15"/>
        <v>0.4</v>
      </c>
      <c r="AJ79" s="6">
        <f t="shared" si="15"/>
        <v>0.4</v>
      </c>
      <c r="AK79" s="6">
        <f t="shared" si="15"/>
        <v>0.4</v>
      </c>
      <c r="AL79" s="6">
        <f t="shared" si="15"/>
        <v>0.4</v>
      </c>
      <c r="AO79" s="8">
        <f>ROW()</f>
        <v>79</v>
      </c>
    </row>
    <row r="80" spans="1:41" s="38" customFormat="1" ht="13.9" customHeight="1" x14ac:dyDescent="0.2">
      <c r="A80" s="6"/>
      <c r="B80" s="6" t="s">
        <v>232</v>
      </c>
      <c r="G80"/>
      <c r="H80"/>
      <c r="I80">
        <f t="shared" ref="I80:I100" si="16">I79+1</f>
        <v>2014</v>
      </c>
      <c r="J80"/>
      <c r="M80" s="215"/>
      <c r="N80" s="215"/>
      <c r="O80" s="215"/>
      <c r="P80" s="6"/>
      <c r="Q80" s="6"/>
      <c r="R80" s="6">
        <f t="shared" si="15"/>
        <v>4.0000000000000008E-2</v>
      </c>
      <c r="S80" s="6">
        <f t="shared" si="15"/>
        <v>8.0000000000000016E-2</v>
      </c>
      <c r="T80" s="6">
        <f t="shared" si="15"/>
        <v>0.12</v>
      </c>
      <c r="U80" s="6">
        <f t="shared" si="15"/>
        <v>0.16000000000000003</v>
      </c>
      <c r="V80" s="6">
        <f t="shared" si="15"/>
        <v>0.2</v>
      </c>
      <c r="W80" s="6">
        <f t="shared" si="15"/>
        <v>0.24</v>
      </c>
      <c r="X80" s="6">
        <f t="shared" si="15"/>
        <v>0.27999999999999997</v>
      </c>
      <c r="Y80" s="6">
        <f t="shared" si="15"/>
        <v>0.32000000000000006</v>
      </c>
      <c r="Z80" s="6">
        <f t="shared" si="15"/>
        <v>0.36000000000000004</v>
      </c>
      <c r="AA80" s="6">
        <f t="shared" si="15"/>
        <v>0.4</v>
      </c>
      <c r="AB80" s="6">
        <f t="shared" si="15"/>
        <v>0.4</v>
      </c>
      <c r="AC80" s="6">
        <f t="shared" si="15"/>
        <v>0.4</v>
      </c>
      <c r="AD80" s="6">
        <f t="shared" si="15"/>
        <v>0.4</v>
      </c>
      <c r="AE80" s="6">
        <f t="shared" si="15"/>
        <v>0.4</v>
      </c>
      <c r="AF80" s="6">
        <f t="shared" si="15"/>
        <v>0.4</v>
      </c>
      <c r="AG80" s="6">
        <f t="shared" si="15"/>
        <v>0.4</v>
      </c>
      <c r="AH80" s="6">
        <f t="shared" si="15"/>
        <v>0.4</v>
      </c>
      <c r="AI80" s="6">
        <f t="shared" si="15"/>
        <v>0.4</v>
      </c>
      <c r="AJ80" s="6">
        <f t="shared" si="15"/>
        <v>0.4</v>
      </c>
      <c r="AK80" s="6">
        <f t="shared" si="15"/>
        <v>0.4</v>
      </c>
      <c r="AL80" s="6">
        <f t="shared" si="15"/>
        <v>0.4</v>
      </c>
      <c r="AO80" s="8">
        <f>ROW()</f>
        <v>80</v>
      </c>
    </row>
    <row r="81" spans="1:41" s="38" customFormat="1" ht="13.9" customHeight="1" x14ac:dyDescent="0.2">
      <c r="A81" s="6"/>
      <c r="B81" s="6" t="s">
        <v>232</v>
      </c>
      <c r="G81"/>
      <c r="H81"/>
      <c r="I81">
        <f t="shared" si="16"/>
        <v>2015</v>
      </c>
      <c r="J81"/>
      <c r="K81"/>
      <c r="L81"/>
      <c r="M81" s="215"/>
      <c r="N81" s="215"/>
      <c r="O81" s="215"/>
      <c r="P81" s="6"/>
      <c r="Q81" s="6"/>
      <c r="R81" s="6"/>
      <c r="S81" s="6">
        <f>R80</f>
        <v>4.0000000000000008E-2</v>
      </c>
      <c r="T81" s="6">
        <f t="shared" si="15"/>
        <v>8.0000000000000016E-2</v>
      </c>
      <c r="U81" s="6">
        <f t="shared" si="15"/>
        <v>0.12</v>
      </c>
      <c r="V81" s="6">
        <f t="shared" si="15"/>
        <v>0.16000000000000003</v>
      </c>
      <c r="W81" s="6">
        <f t="shared" si="15"/>
        <v>0.2</v>
      </c>
      <c r="X81" s="6">
        <f t="shared" si="15"/>
        <v>0.24</v>
      </c>
      <c r="Y81" s="6">
        <f t="shared" si="15"/>
        <v>0.27999999999999997</v>
      </c>
      <c r="Z81" s="6">
        <f t="shared" si="15"/>
        <v>0.32000000000000006</v>
      </c>
      <c r="AA81" s="6">
        <f t="shared" si="15"/>
        <v>0.36000000000000004</v>
      </c>
      <c r="AB81" s="6">
        <f t="shared" si="15"/>
        <v>0.4</v>
      </c>
      <c r="AC81" s="6">
        <f t="shared" si="15"/>
        <v>0.4</v>
      </c>
      <c r="AD81" s="6">
        <f t="shared" si="15"/>
        <v>0.4</v>
      </c>
      <c r="AE81" s="6">
        <f t="shared" si="15"/>
        <v>0.4</v>
      </c>
      <c r="AF81" s="6">
        <f t="shared" si="15"/>
        <v>0.4</v>
      </c>
      <c r="AG81" s="6">
        <f t="shared" si="15"/>
        <v>0.4</v>
      </c>
      <c r="AH81" s="6">
        <f t="shared" si="15"/>
        <v>0.4</v>
      </c>
      <c r="AI81" s="6">
        <f t="shared" si="15"/>
        <v>0.4</v>
      </c>
      <c r="AJ81" s="6">
        <f t="shared" si="15"/>
        <v>0.4</v>
      </c>
      <c r="AK81" s="6">
        <f t="shared" si="15"/>
        <v>0.4</v>
      </c>
      <c r="AL81" s="6">
        <f t="shared" si="15"/>
        <v>0.4</v>
      </c>
      <c r="AO81" s="8">
        <f>ROW()</f>
        <v>81</v>
      </c>
    </row>
    <row r="82" spans="1:41" s="38" customFormat="1" ht="13.9" customHeight="1" x14ac:dyDescent="0.2">
      <c r="A82" s="6"/>
      <c r="B82" s="6" t="s">
        <v>232</v>
      </c>
      <c r="G82"/>
      <c r="H82"/>
      <c r="I82">
        <f t="shared" si="16"/>
        <v>2016</v>
      </c>
      <c r="J82"/>
      <c r="K82"/>
      <c r="L82"/>
      <c r="M82" s="215"/>
      <c r="N82" s="215"/>
      <c r="O82" s="215"/>
      <c r="P82" s="6"/>
      <c r="Q82" s="6"/>
      <c r="R82" s="6"/>
      <c r="S82" s="6"/>
      <c r="T82" s="6">
        <f>S81</f>
        <v>4.0000000000000008E-2</v>
      </c>
      <c r="U82" s="6">
        <f t="shared" si="15"/>
        <v>8.0000000000000016E-2</v>
      </c>
      <c r="V82" s="6">
        <f t="shared" si="15"/>
        <v>0.12</v>
      </c>
      <c r="W82" s="6">
        <f t="shared" si="15"/>
        <v>0.16000000000000003</v>
      </c>
      <c r="X82" s="6">
        <f t="shared" si="15"/>
        <v>0.2</v>
      </c>
      <c r="Y82" s="6">
        <f t="shared" si="15"/>
        <v>0.24</v>
      </c>
      <c r="Z82" s="6">
        <f t="shared" si="15"/>
        <v>0.27999999999999997</v>
      </c>
      <c r="AA82" s="6">
        <f t="shared" si="15"/>
        <v>0.32000000000000006</v>
      </c>
      <c r="AB82" s="6">
        <f t="shared" si="15"/>
        <v>0.36000000000000004</v>
      </c>
      <c r="AC82" s="6">
        <f t="shared" si="15"/>
        <v>0.4</v>
      </c>
      <c r="AD82" s="6">
        <f t="shared" si="15"/>
        <v>0.4</v>
      </c>
      <c r="AE82" s="6">
        <f t="shared" si="15"/>
        <v>0.4</v>
      </c>
      <c r="AF82" s="6">
        <f t="shared" si="15"/>
        <v>0.4</v>
      </c>
      <c r="AG82" s="6">
        <f t="shared" si="15"/>
        <v>0.4</v>
      </c>
      <c r="AH82" s="6">
        <f t="shared" si="15"/>
        <v>0.4</v>
      </c>
      <c r="AI82" s="6">
        <f t="shared" si="15"/>
        <v>0.4</v>
      </c>
      <c r="AJ82" s="6">
        <f t="shared" si="15"/>
        <v>0.4</v>
      </c>
      <c r="AK82" s="6">
        <f t="shared" si="15"/>
        <v>0.4</v>
      </c>
      <c r="AL82" s="6">
        <f t="shared" si="15"/>
        <v>0.4</v>
      </c>
      <c r="AO82" s="8">
        <f>ROW()</f>
        <v>82</v>
      </c>
    </row>
    <row r="83" spans="1:41" s="38" customFormat="1" ht="13.9" customHeight="1" x14ac:dyDescent="0.2">
      <c r="A83" s="6"/>
      <c r="B83" s="6" t="s">
        <v>232</v>
      </c>
      <c r="G83"/>
      <c r="H83"/>
      <c r="I83">
        <f t="shared" si="16"/>
        <v>2017</v>
      </c>
      <c r="J83"/>
      <c r="K83"/>
      <c r="L83"/>
      <c r="M83" s="215"/>
      <c r="N83" s="215"/>
      <c r="O83" s="215"/>
      <c r="P83" s="6"/>
      <c r="Q83" s="6"/>
      <c r="R83" s="6"/>
      <c r="S83" s="6"/>
      <c r="T83" s="6"/>
      <c r="U83" s="6">
        <f>T82</f>
        <v>4.0000000000000008E-2</v>
      </c>
      <c r="V83" s="6">
        <f t="shared" si="15"/>
        <v>8.0000000000000016E-2</v>
      </c>
      <c r="W83" s="6">
        <f t="shared" si="15"/>
        <v>0.12</v>
      </c>
      <c r="X83" s="6">
        <f t="shared" si="15"/>
        <v>0.16000000000000003</v>
      </c>
      <c r="Y83" s="6">
        <f t="shared" si="15"/>
        <v>0.2</v>
      </c>
      <c r="Z83" s="6">
        <f t="shared" si="15"/>
        <v>0.24</v>
      </c>
      <c r="AA83" s="6">
        <f t="shared" si="15"/>
        <v>0.27999999999999997</v>
      </c>
      <c r="AB83" s="6">
        <f t="shared" si="15"/>
        <v>0.32000000000000006</v>
      </c>
      <c r="AC83" s="6">
        <f t="shared" si="15"/>
        <v>0.36000000000000004</v>
      </c>
      <c r="AD83" s="6">
        <f t="shared" si="15"/>
        <v>0.4</v>
      </c>
      <c r="AE83" s="6">
        <f t="shared" si="15"/>
        <v>0.4</v>
      </c>
      <c r="AF83" s="6">
        <f t="shared" si="15"/>
        <v>0.4</v>
      </c>
      <c r="AG83" s="6">
        <f t="shared" si="15"/>
        <v>0.4</v>
      </c>
      <c r="AH83" s="6">
        <f t="shared" si="15"/>
        <v>0.4</v>
      </c>
      <c r="AI83" s="6">
        <f t="shared" si="15"/>
        <v>0.4</v>
      </c>
      <c r="AJ83" s="6">
        <f t="shared" si="15"/>
        <v>0.4</v>
      </c>
      <c r="AK83" s="6">
        <f t="shared" si="15"/>
        <v>0.4</v>
      </c>
      <c r="AL83" s="6">
        <f t="shared" si="15"/>
        <v>0.4</v>
      </c>
      <c r="AO83" s="8">
        <f>ROW()</f>
        <v>83</v>
      </c>
    </row>
    <row r="84" spans="1:41" s="38" customFormat="1" ht="13.9" customHeight="1" x14ac:dyDescent="0.2">
      <c r="A84" s="6"/>
      <c r="B84" s="6" t="s">
        <v>232</v>
      </c>
      <c r="G84"/>
      <c r="H84"/>
      <c r="I84">
        <f t="shared" si="16"/>
        <v>2018</v>
      </c>
      <c r="J84"/>
      <c r="K84"/>
      <c r="L84"/>
      <c r="M84" s="215"/>
      <c r="N84" s="215"/>
      <c r="O84" s="215"/>
      <c r="P84" s="6"/>
      <c r="Q84" s="6"/>
      <c r="R84" s="6"/>
      <c r="S84" s="6"/>
      <c r="T84" s="6"/>
      <c r="U84" s="6"/>
      <c r="V84" s="6">
        <f>U83</f>
        <v>4.0000000000000008E-2</v>
      </c>
      <c r="W84" s="6">
        <f t="shared" si="15"/>
        <v>8.0000000000000016E-2</v>
      </c>
      <c r="X84" s="6">
        <f t="shared" si="15"/>
        <v>0.12</v>
      </c>
      <c r="Y84" s="6">
        <f t="shared" si="15"/>
        <v>0.16000000000000003</v>
      </c>
      <c r="Z84" s="6">
        <f t="shared" si="15"/>
        <v>0.2</v>
      </c>
      <c r="AA84" s="6">
        <f t="shared" si="15"/>
        <v>0.24</v>
      </c>
      <c r="AB84" s="6">
        <f t="shared" si="15"/>
        <v>0.27999999999999997</v>
      </c>
      <c r="AC84" s="6">
        <f t="shared" si="15"/>
        <v>0.32000000000000006</v>
      </c>
      <c r="AD84" s="6">
        <f t="shared" si="15"/>
        <v>0.36000000000000004</v>
      </c>
      <c r="AE84" s="6">
        <f t="shared" si="15"/>
        <v>0.4</v>
      </c>
      <c r="AF84" s="6">
        <f t="shared" si="15"/>
        <v>0.4</v>
      </c>
      <c r="AG84" s="6">
        <f t="shared" si="15"/>
        <v>0.4</v>
      </c>
      <c r="AH84" s="6">
        <f t="shared" si="15"/>
        <v>0.4</v>
      </c>
      <c r="AI84" s="6">
        <f t="shared" si="15"/>
        <v>0.4</v>
      </c>
      <c r="AJ84" s="6">
        <f t="shared" si="15"/>
        <v>0.4</v>
      </c>
      <c r="AK84" s="6">
        <f t="shared" si="15"/>
        <v>0.4</v>
      </c>
      <c r="AL84" s="6">
        <f t="shared" si="15"/>
        <v>0.4</v>
      </c>
      <c r="AO84" s="8">
        <f>ROW()</f>
        <v>84</v>
      </c>
    </row>
    <row r="85" spans="1:41" s="38" customFormat="1" ht="13.9" customHeight="1" x14ac:dyDescent="0.2">
      <c r="A85" s="6"/>
      <c r="B85" s="6" t="s">
        <v>232</v>
      </c>
      <c r="G85"/>
      <c r="H85"/>
      <c r="I85">
        <f t="shared" si="16"/>
        <v>2019</v>
      </c>
      <c r="J85"/>
      <c r="K85"/>
      <c r="L85"/>
      <c r="M85" s="215"/>
      <c r="N85" s="215"/>
      <c r="O85" s="215"/>
      <c r="P85" s="6"/>
      <c r="Q85" s="6"/>
      <c r="R85" s="6"/>
      <c r="S85" s="6"/>
      <c r="T85" s="6"/>
      <c r="U85" s="6"/>
      <c r="V85" s="6"/>
      <c r="W85" s="6">
        <f>V84</f>
        <v>4.0000000000000008E-2</v>
      </c>
      <c r="X85" s="6">
        <f t="shared" si="15"/>
        <v>8.0000000000000016E-2</v>
      </c>
      <c r="Y85" s="6">
        <f t="shared" si="15"/>
        <v>0.12</v>
      </c>
      <c r="Z85" s="6">
        <f t="shared" si="15"/>
        <v>0.16000000000000003</v>
      </c>
      <c r="AA85" s="6">
        <f t="shared" si="15"/>
        <v>0.2</v>
      </c>
      <c r="AB85" s="6">
        <f t="shared" si="15"/>
        <v>0.24</v>
      </c>
      <c r="AC85" s="6">
        <f t="shared" si="15"/>
        <v>0.27999999999999997</v>
      </c>
      <c r="AD85" s="6">
        <f t="shared" si="15"/>
        <v>0.32000000000000006</v>
      </c>
      <c r="AE85" s="6">
        <f t="shared" si="15"/>
        <v>0.36000000000000004</v>
      </c>
      <c r="AF85" s="6">
        <f t="shared" si="15"/>
        <v>0.4</v>
      </c>
      <c r="AG85" s="6">
        <f t="shared" si="15"/>
        <v>0.4</v>
      </c>
      <c r="AH85" s="6">
        <f t="shared" si="15"/>
        <v>0.4</v>
      </c>
      <c r="AI85" s="6">
        <f t="shared" si="15"/>
        <v>0.4</v>
      </c>
      <c r="AJ85" s="6">
        <f t="shared" si="15"/>
        <v>0.4</v>
      </c>
      <c r="AK85" s="6">
        <f t="shared" si="15"/>
        <v>0.4</v>
      </c>
      <c r="AL85" s="6">
        <f t="shared" si="15"/>
        <v>0.4</v>
      </c>
      <c r="AO85" s="8">
        <f>ROW()</f>
        <v>85</v>
      </c>
    </row>
    <row r="86" spans="1:41" s="38" customFormat="1" ht="13.9" customHeight="1" x14ac:dyDescent="0.2">
      <c r="A86" s="6"/>
      <c r="B86" s="6" t="s">
        <v>232</v>
      </c>
      <c r="G86"/>
      <c r="H86"/>
      <c r="I86">
        <f t="shared" si="16"/>
        <v>2020</v>
      </c>
      <c r="J86"/>
      <c r="K86"/>
      <c r="L86"/>
      <c r="M86" s="215"/>
      <c r="N86" s="215"/>
      <c r="O86" s="215"/>
      <c r="P86" s="6"/>
      <c r="Q86" s="6"/>
      <c r="R86" s="6"/>
      <c r="S86" s="6"/>
      <c r="T86" s="29"/>
      <c r="U86" s="6"/>
      <c r="V86" s="6"/>
      <c r="W86" s="6"/>
      <c r="X86" s="6">
        <f>W85</f>
        <v>4.0000000000000008E-2</v>
      </c>
      <c r="Y86" s="6">
        <f t="shared" si="15"/>
        <v>8.0000000000000016E-2</v>
      </c>
      <c r="Z86" s="6">
        <f t="shared" si="15"/>
        <v>0.12</v>
      </c>
      <c r="AA86" s="6">
        <f t="shared" si="15"/>
        <v>0.16000000000000003</v>
      </c>
      <c r="AB86" s="6">
        <f t="shared" si="15"/>
        <v>0.2</v>
      </c>
      <c r="AC86" s="6">
        <f t="shared" si="15"/>
        <v>0.24</v>
      </c>
      <c r="AD86" s="6">
        <f t="shared" si="15"/>
        <v>0.27999999999999997</v>
      </c>
      <c r="AE86" s="6">
        <f t="shared" si="15"/>
        <v>0.32000000000000006</v>
      </c>
      <c r="AF86" s="6">
        <f t="shared" si="15"/>
        <v>0.36000000000000004</v>
      </c>
      <c r="AG86" s="6">
        <f t="shared" si="15"/>
        <v>0.4</v>
      </c>
      <c r="AH86" s="6">
        <f t="shared" si="15"/>
        <v>0.4</v>
      </c>
      <c r="AI86" s="6">
        <f t="shared" si="15"/>
        <v>0.4</v>
      </c>
      <c r="AJ86" s="6">
        <f t="shared" si="15"/>
        <v>0.4</v>
      </c>
      <c r="AK86" s="6">
        <f t="shared" si="15"/>
        <v>0.4</v>
      </c>
      <c r="AL86" s="6">
        <f t="shared" si="15"/>
        <v>0.4</v>
      </c>
      <c r="AO86" s="8">
        <f>ROW()</f>
        <v>86</v>
      </c>
    </row>
    <row r="87" spans="1:41" s="38" customFormat="1" ht="13.9" customHeight="1" x14ac:dyDescent="0.2">
      <c r="A87" s="6"/>
      <c r="B87" s="6" t="s">
        <v>232</v>
      </c>
      <c r="G87"/>
      <c r="H87"/>
      <c r="I87">
        <f t="shared" si="16"/>
        <v>2021</v>
      </c>
      <c r="J87"/>
      <c r="K87"/>
      <c r="L87"/>
      <c r="M87" s="215"/>
      <c r="N87" s="215"/>
      <c r="O87" s="215"/>
      <c r="P87" s="6"/>
      <c r="Q87" s="6"/>
      <c r="R87" s="6"/>
      <c r="S87" s="6"/>
      <c r="T87" s="29"/>
      <c r="U87" s="6"/>
      <c r="V87" s="6"/>
      <c r="W87" s="6"/>
      <c r="X87" s="6"/>
      <c r="Y87" s="6">
        <f>X86</f>
        <v>4.0000000000000008E-2</v>
      </c>
      <c r="Z87" s="6">
        <f t="shared" si="15"/>
        <v>8.0000000000000016E-2</v>
      </c>
      <c r="AA87" s="6">
        <f t="shared" si="15"/>
        <v>0.12</v>
      </c>
      <c r="AB87" s="6">
        <f t="shared" si="15"/>
        <v>0.16000000000000003</v>
      </c>
      <c r="AC87" s="6">
        <f t="shared" si="15"/>
        <v>0.2</v>
      </c>
      <c r="AD87" s="6">
        <f t="shared" si="15"/>
        <v>0.24</v>
      </c>
      <c r="AE87" s="6">
        <f t="shared" si="15"/>
        <v>0.27999999999999997</v>
      </c>
      <c r="AF87" s="6">
        <f t="shared" si="15"/>
        <v>0.32000000000000006</v>
      </c>
      <c r="AG87" s="6">
        <f t="shared" si="15"/>
        <v>0.36000000000000004</v>
      </c>
      <c r="AH87" s="6">
        <f t="shared" si="15"/>
        <v>0.4</v>
      </c>
      <c r="AI87" s="6">
        <f t="shared" si="15"/>
        <v>0.4</v>
      </c>
      <c r="AJ87" s="6">
        <f t="shared" si="15"/>
        <v>0.4</v>
      </c>
      <c r="AK87" s="6">
        <f t="shared" si="15"/>
        <v>0.4</v>
      </c>
      <c r="AL87" s="6">
        <f t="shared" si="15"/>
        <v>0.4</v>
      </c>
      <c r="AO87" s="8">
        <f>ROW()</f>
        <v>87</v>
      </c>
    </row>
    <row r="88" spans="1:41" s="38" customFormat="1" ht="13.9" customHeight="1" x14ac:dyDescent="0.2">
      <c r="A88" s="6"/>
      <c r="B88" s="6" t="s">
        <v>232</v>
      </c>
      <c r="G88"/>
      <c r="H88"/>
      <c r="I88">
        <f t="shared" si="16"/>
        <v>2022</v>
      </c>
      <c r="J88"/>
      <c r="K88"/>
      <c r="L88"/>
      <c r="M88" s="215"/>
      <c r="N88" s="215"/>
      <c r="O88" s="215"/>
      <c r="P88" s="6"/>
      <c r="Q88" s="6"/>
      <c r="R88" s="6"/>
      <c r="S88" s="6"/>
      <c r="T88" s="29"/>
      <c r="U88" s="6"/>
      <c r="V88" s="6"/>
      <c r="W88" s="6"/>
      <c r="X88" s="6"/>
      <c r="Y88" s="6"/>
      <c r="Z88" s="6">
        <f>Y87</f>
        <v>4.0000000000000008E-2</v>
      </c>
      <c r="AA88" s="6">
        <f t="shared" si="15"/>
        <v>8.0000000000000016E-2</v>
      </c>
      <c r="AB88" s="6">
        <f t="shared" si="15"/>
        <v>0.12</v>
      </c>
      <c r="AC88" s="6">
        <f t="shared" si="15"/>
        <v>0.16000000000000003</v>
      </c>
      <c r="AD88" s="6">
        <f t="shared" si="15"/>
        <v>0.2</v>
      </c>
      <c r="AE88" s="6">
        <f t="shared" si="15"/>
        <v>0.24</v>
      </c>
      <c r="AF88" s="6">
        <f t="shared" si="15"/>
        <v>0.27999999999999997</v>
      </c>
      <c r="AG88" s="6">
        <f t="shared" si="15"/>
        <v>0.32000000000000006</v>
      </c>
      <c r="AH88" s="6">
        <f t="shared" si="15"/>
        <v>0.36000000000000004</v>
      </c>
      <c r="AI88" s="6">
        <f t="shared" si="15"/>
        <v>0.4</v>
      </c>
      <c r="AJ88" s="6">
        <f t="shared" si="15"/>
        <v>0.4</v>
      </c>
      <c r="AK88" s="6">
        <f t="shared" si="15"/>
        <v>0.4</v>
      </c>
      <c r="AL88" s="6">
        <f t="shared" si="15"/>
        <v>0.4</v>
      </c>
      <c r="AO88" s="8">
        <f>ROW()</f>
        <v>88</v>
      </c>
    </row>
    <row r="89" spans="1:41" s="38" customFormat="1" ht="13.9" customHeight="1" x14ac:dyDescent="0.2">
      <c r="A89" s="6"/>
      <c r="B89" s="6" t="s">
        <v>232</v>
      </c>
      <c r="G89"/>
      <c r="H89"/>
      <c r="I89">
        <f t="shared" si="16"/>
        <v>2023</v>
      </c>
      <c r="J89"/>
      <c r="K89"/>
      <c r="L89"/>
      <c r="M89" s="215"/>
      <c r="N89" s="215"/>
      <c r="O89" s="215"/>
      <c r="P89" s="6"/>
      <c r="Q89" s="6"/>
      <c r="R89" s="6"/>
      <c r="S89" s="6"/>
      <c r="T89" s="29"/>
      <c r="U89" s="6"/>
      <c r="V89" s="6"/>
      <c r="W89" s="6"/>
      <c r="X89" s="6"/>
      <c r="Y89" s="6"/>
      <c r="Z89" s="6"/>
      <c r="AA89" s="6">
        <f>Z88</f>
        <v>4.0000000000000008E-2</v>
      </c>
      <c r="AB89" s="6">
        <f t="shared" si="15"/>
        <v>8.0000000000000016E-2</v>
      </c>
      <c r="AC89" s="6">
        <f t="shared" si="15"/>
        <v>0.12</v>
      </c>
      <c r="AD89" s="6">
        <f t="shared" si="15"/>
        <v>0.16000000000000003</v>
      </c>
      <c r="AE89" s="6">
        <f t="shared" si="15"/>
        <v>0.2</v>
      </c>
      <c r="AF89" s="6">
        <f t="shared" si="15"/>
        <v>0.24</v>
      </c>
      <c r="AG89" s="6">
        <f t="shared" si="15"/>
        <v>0.27999999999999997</v>
      </c>
      <c r="AH89" s="6">
        <f t="shared" si="15"/>
        <v>0.32000000000000006</v>
      </c>
      <c r="AI89" s="6">
        <f t="shared" si="15"/>
        <v>0.36000000000000004</v>
      </c>
      <c r="AJ89" s="6">
        <f t="shared" si="15"/>
        <v>0.4</v>
      </c>
      <c r="AK89" s="6">
        <f t="shared" si="15"/>
        <v>0.4</v>
      </c>
      <c r="AL89" s="6">
        <f t="shared" si="15"/>
        <v>0.4</v>
      </c>
      <c r="AO89" s="8">
        <f>ROW()</f>
        <v>89</v>
      </c>
    </row>
    <row r="90" spans="1:41" s="38" customFormat="1" ht="13.9" customHeight="1" x14ac:dyDescent="0.2">
      <c r="A90" s="6"/>
      <c r="B90" s="6" t="s">
        <v>232</v>
      </c>
      <c r="G90"/>
      <c r="H90"/>
      <c r="I90">
        <f t="shared" si="16"/>
        <v>2024</v>
      </c>
      <c r="J90"/>
      <c r="K90"/>
      <c r="L90"/>
      <c r="M90" s="215"/>
      <c r="N90" s="215"/>
      <c r="O90" s="215"/>
      <c r="P90" s="6"/>
      <c r="Q90" s="6"/>
      <c r="R90" s="6"/>
      <c r="S90" s="6"/>
      <c r="T90" s="29"/>
      <c r="U90" s="6"/>
      <c r="V90" s="6"/>
      <c r="W90" s="6"/>
      <c r="X90" s="6"/>
      <c r="Y90" s="6"/>
      <c r="Z90" s="6"/>
      <c r="AA90" s="6"/>
      <c r="AB90" s="6">
        <f>AA89</f>
        <v>4.0000000000000008E-2</v>
      </c>
      <c r="AC90" s="6">
        <f t="shared" si="15"/>
        <v>8.0000000000000016E-2</v>
      </c>
      <c r="AD90" s="6">
        <f t="shared" si="15"/>
        <v>0.12</v>
      </c>
      <c r="AE90" s="6">
        <f t="shared" si="15"/>
        <v>0.16000000000000003</v>
      </c>
      <c r="AF90" s="6">
        <f t="shared" si="15"/>
        <v>0.2</v>
      </c>
      <c r="AG90" s="6">
        <f t="shared" si="15"/>
        <v>0.24</v>
      </c>
      <c r="AH90" s="6">
        <f t="shared" si="15"/>
        <v>0.27999999999999997</v>
      </c>
      <c r="AI90" s="6">
        <f t="shared" si="15"/>
        <v>0.32000000000000006</v>
      </c>
      <c r="AJ90" s="6">
        <f t="shared" si="15"/>
        <v>0.36000000000000004</v>
      </c>
      <c r="AK90" s="6">
        <f t="shared" si="15"/>
        <v>0.4</v>
      </c>
      <c r="AL90" s="6">
        <f t="shared" si="15"/>
        <v>0.4</v>
      </c>
      <c r="AO90" s="8">
        <f>ROW()</f>
        <v>90</v>
      </c>
    </row>
    <row r="91" spans="1:41" s="38" customFormat="1" ht="13.9" customHeight="1" x14ac:dyDescent="0.2">
      <c r="A91" s="6"/>
      <c r="B91" s="6" t="s">
        <v>232</v>
      </c>
      <c r="G91"/>
      <c r="H91"/>
      <c r="I91">
        <f t="shared" si="16"/>
        <v>2025</v>
      </c>
      <c r="J91"/>
      <c r="K91"/>
      <c r="L91"/>
      <c r="M91" s="215"/>
      <c r="N91" s="215"/>
      <c r="O91" s="215"/>
      <c r="P91" s="6"/>
      <c r="Q91" s="6"/>
      <c r="R91" s="6"/>
      <c r="S91" s="6"/>
      <c r="T91" s="29"/>
      <c r="U91" s="6"/>
      <c r="V91" s="6"/>
      <c r="W91" s="6"/>
      <c r="X91" s="6"/>
      <c r="Y91" s="6"/>
      <c r="Z91" s="6"/>
      <c r="AA91" s="6"/>
      <c r="AB91" s="6"/>
      <c r="AC91" s="6">
        <f t="shared" ref="AC91:AL91" si="17">AB90</f>
        <v>4.0000000000000008E-2</v>
      </c>
      <c r="AD91" s="6">
        <f t="shared" si="17"/>
        <v>8.0000000000000016E-2</v>
      </c>
      <c r="AE91" s="6">
        <f t="shared" si="17"/>
        <v>0.12</v>
      </c>
      <c r="AF91" s="6">
        <f t="shared" si="17"/>
        <v>0.16000000000000003</v>
      </c>
      <c r="AG91" s="6">
        <f t="shared" si="17"/>
        <v>0.2</v>
      </c>
      <c r="AH91" s="6">
        <f t="shared" si="17"/>
        <v>0.24</v>
      </c>
      <c r="AI91" s="6">
        <f t="shared" si="17"/>
        <v>0.27999999999999997</v>
      </c>
      <c r="AJ91" s="6">
        <f t="shared" si="17"/>
        <v>0.32000000000000006</v>
      </c>
      <c r="AK91" s="6">
        <f t="shared" si="17"/>
        <v>0.36000000000000004</v>
      </c>
      <c r="AL91" s="6">
        <f t="shared" si="17"/>
        <v>0.4</v>
      </c>
      <c r="AO91" s="8">
        <f>ROW()</f>
        <v>91</v>
      </c>
    </row>
    <row r="92" spans="1:41" s="38" customFormat="1" ht="13.9" customHeight="1" x14ac:dyDescent="0.2">
      <c r="A92" s="6"/>
      <c r="B92" s="6" t="s">
        <v>232</v>
      </c>
      <c r="G92"/>
      <c r="H92"/>
      <c r="I92">
        <f t="shared" si="16"/>
        <v>2026</v>
      </c>
      <c r="J92"/>
      <c r="K92"/>
      <c r="L92"/>
      <c r="M92" s="215"/>
      <c r="N92" s="215"/>
      <c r="O92" s="215"/>
      <c r="P92" s="6"/>
      <c r="Q92" s="6"/>
      <c r="R92" s="6"/>
      <c r="S92" s="6"/>
      <c r="T92" s="29"/>
      <c r="U92" s="6"/>
      <c r="V92" s="6"/>
      <c r="W92" s="6"/>
      <c r="X92" s="6"/>
      <c r="Y92" s="6"/>
      <c r="Z92" s="6"/>
      <c r="AA92" s="6"/>
      <c r="AB92" s="6"/>
      <c r="AC92" s="6"/>
      <c r="AD92" s="6">
        <f t="shared" ref="AD92:AL92" si="18">AC91</f>
        <v>4.0000000000000008E-2</v>
      </c>
      <c r="AE92" s="6">
        <f t="shared" si="18"/>
        <v>8.0000000000000016E-2</v>
      </c>
      <c r="AF92" s="6">
        <f t="shared" si="18"/>
        <v>0.12</v>
      </c>
      <c r="AG92" s="6">
        <f t="shared" si="18"/>
        <v>0.16000000000000003</v>
      </c>
      <c r="AH92" s="6">
        <f t="shared" si="18"/>
        <v>0.2</v>
      </c>
      <c r="AI92" s="6">
        <f t="shared" si="18"/>
        <v>0.24</v>
      </c>
      <c r="AJ92" s="6">
        <f t="shared" si="18"/>
        <v>0.27999999999999997</v>
      </c>
      <c r="AK92" s="6">
        <f t="shared" si="18"/>
        <v>0.32000000000000006</v>
      </c>
      <c r="AL92" s="6">
        <f t="shared" si="18"/>
        <v>0.36000000000000004</v>
      </c>
      <c r="AO92" s="8">
        <f>ROW()</f>
        <v>92</v>
      </c>
    </row>
    <row r="93" spans="1:41" s="38" customFormat="1" ht="13.9" customHeight="1" x14ac:dyDescent="0.2">
      <c r="A93" s="6"/>
      <c r="B93" s="6" t="s">
        <v>232</v>
      </c>
      <c r="G93"/>
      <c r="H93"/>
      <c r="I93">
        <f t="shared" si="16"/>
        <v>2027</v>
      </c>
      <c r="J93"/>
      <c r="K93"/>
      <c r="L93"/>
      <c r="M93" s="215"/>
      <c r="N93" s="215"/>
      <c r="O93" s="215"/>
      <c r="P93" s="6"/>
      <c r="Q93" s="6"/>
      <c r="R93" s="6"/>
      <c r="S93" s="6"/>
      <c r="T93" s="29"/>
      <c r="U93" s="6"/>
      <c r="V93" s="6"/>
      <c r="W93" s="6"/>
      <c r="X93" s="6"/>
      <c r="Y93" s="6"/>
      <c r="Z93" s="6"/>
      <c r="AA93" s="6"/>
      <c r="AB93" s="6"/>
      <c r="AC93" s="6"/>
      <c r="AD93" s="6"/>
      <c r="AE93" s="6">
        <f>AD92</f>
        <v>4.0000000000000008E-2</v>
      </c>
      <c r="AF93" s="6">
        <f t="shared" ref="AF93:AL98" si="19">AE92</f>
        <v>8.0000000000000016E-2</v>
      </c>
      <c r="AG93" s="6">
        <f t="shared" si="19"/>
        <v>0.12</v>
      </c>
      <c r="AH93" s="6">
        <f t="shared" si="19"/>
        <v>0.16000000000000003</v>
      </c>
      <c r="AI93" s="6">
        <f t="shared" si="19"/>
        <v>0.2</v>
      </c>
      <c r="AJ93" s="6">
        <f t="shared" si="19"/>
        <v>0.24</v>
      </c>
      <c r="AK93" s="6">
        <f t="shared" si="19"/>
        <v>0.27999999999999997</v>
      </c>
      <c r="AL93" s="6">
        <f t="shared" si="19"/>
        <v>0.32000000000000006</v>
      </c>
      <c r="AO93" s="8">
        <f>ROW()</f>
        <v>93</v>
      </c>
    </row>
    <row r="94" spans="1:41" s="38" customFormat="1" ht="13.9" customHeight="1" x14ac:dyDescent="0.2">
      <c r="A94" s="6"/>
      <c r="B94" s="6" t="s">
        <v>232</v>
      </c>
      <c r="G94"/>
      <c r="H94"/>
      <c r="I94">
        <f t="shared" si="16"/>
        <v>2028</v>
      </c>
      <c r="J94"/>
      <c r="K94" s="6"/>
      <c r="L94" s="6"/>
      <c r="M94" s="215"/>
      <c r="N94" s="215"/>
      <c r="O94" s="215"/>
      <c r="P94" s="6"/>
      <c r="Q94" s="6"/>
      <c r="R94" s="6"/>
      <c r="S94" s="6"/>
      <c r="T94" s="29"/>
      <c r="U94" s="6"/>
      <c r="V94" s="6"/>
      <c r="W94" s="6"/>
      <c r="X94" s="6"/>
      <c r="Y94" s="6"/>
      <c r="Z94" s="6"/>
      <c r="AA94" s="6"/>
      <c r="AB94" s="6"/>
      <c r="AC94" s="6"/>
      <c r="AD94" s="6"/>
      <c r="AE94" s="6"/>
      <c r="AF94" s="6">
        <f>AE93</f>
        <v>4.0000000000000008E-2</v>
      </c>
      <c r="AG94" s="6">
        <f t="shared" si="19"/>
        <v>8.0000000000000016E-2</v>
      </c>
      <c r="AH94" s="6">
        <f t="shared" si="19"/>
        <v>0.12</v>
      </c>
      <c r="AI94" s="6">
        <f t="shared" si="19"/>
        <v>0.16000000000000003</v>
      </c>
      <c r="AJ94" s="6">
        <f t="shared" si="19"/>
        <v>0.2</v>
      </c>
      <c r="AK94" s="6">
        <f t="shared" si="19"/>
        <v>0.24</v>
      </c>
      <c r="AL94" s="6">
        <f t="shared" si="19"/>
        <v>0.27999999999999997</v>
      </c>
      <c r="AO94" s="8">
        <f>ROW()</f>
        <v>94</v>
      </c>
    </row>
    <row r="95" spans="1:41" s="38" customFormat="1" ht="13.9" customHeight="1" x14ac:dyDescent="0.2">
      <c r="A95" s="6"/>
      <c r="B95" s="6" t="s">
        <v>232</v>
      </c>
      <c r="G95"/>
      <c r="H95"/>
      <c r="I95">
        <f t="shared" si="16"/>
        <v>2029</v>
      </c>
      <c r="J95"/>
      <c r="K95" s="6"/>
      <c r="L95" s="6"/>
      <c r="M95" s="84"/>
      <c r="N95" s="84"/>
      <c r="O95" s="84"/>
      <c r="P95" s="6"/>
      <c r="Q95" s="6"/>
      <c r="R95" s="6"/>
      <c r="S95" s="6"/>
      <c r="T95" s="29"/>
      <c r="U95" s="6"/>
      <c r="V95" s="6"/>
      <c r="W95" s="6"/>
      <c r="X95" s="6"/>
      <c r="Y95" s="6"/>
      <c r="Z95" s="6"/>
      <c r="AA95" s="6"/>
      <c r="AB95" s="6"/>
      <c r="AC95" s="6"/>
      <c r="AD95" s="6"/>
      <c r="AE95" s="6"/>
      <c r="AF95" s="6"/>
      <c r="AG95" s="6">
        <f>AF94</f>
        <v>4.0000000000000008E-2</v>
      </c>
      <c r="AH95" s="6">
        <f t="shared" si="19"/>
        <v>8.0000000000000016E-2</v>
      </c>
      <c r="AI95" s="6">
        <f t="shared" si="19"/>
        <v>0.12</v>
      </c>
      <c r="AJ95" s="6">
        <f t="shared" si="19"/>
        <v>0.16000000000000003</v>
      </c>
      <c r="AK95" s="6">
        <f t="shared" si="19"/>
        <v>0.2</v>
      </c>
      <c r="AL95" s="6">
        <f t="shared" si="19"/>
        <v>0.24</v>
      </c>
      <c r="AO95" s="8">
        <f>ROW()</f>
        <v>95</v>
      </c>
    </row>
    <row r="96" spans="1:41" s="38" customFormat="1" ht="13.9" customHeight="1" x14ac:dyDescent="0.2">
      <c r="A96" s="6"/>
      <c r="B96" s="6" t="s">
        <v>232</v>
      </c>
      <c r="G96"/>
      <c r="H96"/>
      <c r="I96">
        <f t="shared" si="16"/>
        <v>2030</v>
      </c>
      <c r="J96"/>
      <c r="K96" s="6"/>
      <c r="L96" s="6"/>
      <c r="M96" s="84"/>
      <c r="N96" s="84"/>
      <c r="O96" s="84"/>
      <c r="P96" s="6"/>
      <c r="Q96" s="6"/>
      <c r="R96" s="6"/>
      <c r="S96" s="6"/>
      <c r="T96" s="29"/>
      <c r="U96" s="6"/>
      <c r="V96" s="6"/>
      <c r="W96" s="6"/>
      <c r="X96" s="6"/>
      <c r="Y96" s="6"/>
      <c r="Z96" s="6"/>
      <c r="AA96" s="6"/>
      <c r="AB96" s="6"/>
      <c r="AC96" s="6"/>
      <c r="AD96" s="6"/>
      <c r="AE96" s="6"/>
      <c r="AF96" s="6"/>
      <c r="AG96" s="6"/>
      <c r="AH96" s="6">
        <f>AG95</f>
        <v>4.0000000000000008E-2</v>
      </c>
      <c r="AI96" s="6">
        <f t="shared" si="19"/>
        <v>8.0000000000000016E-2</v>
      </c>
      <c r="AJ96" s="6">
        <f t="shared" si="19"/>
        <v>0.12</v>
      </c>
      <c r="AK96" s="6">
        <f t="shared" si="19"/>
        <v>0.16000000000000003</v>
      </c>
      <c r="AL96" s="6">
        <f t="shared" si="19"/>
        <v>0.2</v>
      </c>
      <c r="AO96" s="8">
        <f>ROW()</f>
        <v>96</v>
      </c>
    </row>
    <row r="97" spans="1:41" s="38" customFormat="1" ht="13.9" customHeight="1" x14ac:dyDescent="0.2">
      <c r="A97" s="6"/>
      <c r="B97" s="6" t="s">
        <v>232</v>
      </c>
      <c r="G97"/>
      <c r="H97"/>
      <c r="I97">
        <f t="shared" si="16"/>
        <v>2031</v>
      </c>
      <c r="J97"/>
      <c r="K97" s="6"/>
      <c r="L97" s="6"/>
      <c r="M97" s="84"/>
      <c r="N97" s="84"/>
      <c r="O97" s="84"/>
      <c r="P97" s="6"/>
      <c r="Q97" s="6"/>
      <c r="R97" s="6"/>
      <c r="S97" s="6"/>
      <c r="T97" s="29"/>
      <c r="U97" s="6"/>
      <c r="V97" s="6"/>
      <c r="W97" s="6"/>
      <c r="X97" s="6"/>
      <c r="Y97" s="6"/>
      <c r="Z97" s="6"/>
      <c r="AA97" s="6"/>
      <c r="AB97" s="6"/>
      <c r="AC97" s="6"/>
      <c r="AD97" s="6"/>
      <c r="AE97" s="6"/>
      <c r="AF97" s="6"/>
      <c r="AG97" s="6"/>
      <c r="AH97" s="6"/>
      <c r="AI97" s="6">
        <f>AH96</f>
        <v>4.0000000000000008E-2</v>
      </c>
      <c r="AJ97" s="6">
        <f t="shared" si="19"/>
        <v>8.0000000000000016E-2</v>
      </c>
      <c r="AK97" s="6">
        <f t="shared" si="19"/>
        <v>0.12</v>
      </c>
      <c r="AL97" s="6">
        <f t="shared" si="19"/>
        <v>0.16000000000000003</v>
      </c>
      <c r="AO97" s="8">
        <f>ROW()</f>
        <v>97</v>
      </c>
    </row>
    <row r="98" spans="1:41" s="38" customFormat="1" ht="13.9" customHeight="1" x14ac:dyDescent="0.2">
      <c r="A98" s="6"/>
      <c r="B98" s="6" t="s">
        <v>232</v>
      </c>
      <c r="G98"/>
      <c r="H98"/>
      <c r="I98">
        <f t="shared" si="16"/>
        <v>2032</v>
      </c>
      <c r="J98"/>
      <c r="K98" s="6"/>
      <c r="L98" s="6"/>
      <c r="M98" s="84"/>
      <c r="N98" s="84"/>
      <c r="O98" s="84"/>
      <c r="P98" s="6"/>
      <c r="Q98" s="6"/>
      <c r="R98" s="6"/>
      <c r="S98" s="6"/>
      <c r="T98" s="29"/>
      <c r="U98" s="6"/>
      <c r="V98" s="6"/>
      <c r="W98" s="6"/>
      <c r="X98" s="6"/>
      <c r="Y98" s="6"/>
      <c r="Z98" s="6"/>
      <c r="AA98" s="6"/>
      <c r="AB98" s="6"/>
      <c r="AC98" s="6"/>
      <c r="AD98" s="6"/>
      <c r="AE98" s="6"/>
      <c r="AF98" s="6"/>
      <c r="AG98" s="6"/>
      <c r="AH98" s="6"/>
      <c r="AI98" s="6"/>
      <c r="AJ98" s="6">
        <f>AI97</f>
        <v>4.0000000000000008E-2</v>
      </c>
      <c r="AK98" s="6">
        <f t="shared" si="19"/>
        <v>8.0000000000000016E-2</v>
      </c>
      <c r="AL98" s="6">
        <f t="shared" si="19"/>
        <v>0.12</v>
      </c>
      <c r="AO98" s="8">
        <f>ROW()</f>
        <v>98</v>
      </c>
    </row>
    <row r="99" spans="1:41" s="38" customFormat="1" ht="13.9" customHeight="1" x14ac:dyDescent="0.2">
      <c r="A99" s="16"/>
      <c r="B99" s="6" t="s">
        <v>232</v>
      </c>
      <c r="G99"/>
      <c r="H99"/>
      <c r="I99">
        <f t="shared" si="16"/>
        <v>2033</v>
      </c>
      <c r="J99"/>
      <c r="K99" s="6"/>
      <c r="L99" s="6"/>
      <c r="M99" s="84"/>
      <c r="N99" s="84"/>
      <c r="O99" s="84"/>
      <c r="P99" s="6"/>
      <c r="Q99" s="6"/>
      <c r="R99" s="6"/>
      <c r="S99" s="6"/>
      <c r="T99" s="29"/>
      <c r="U99" s="6"/>
      <c r="V99" s="6"/>
      <c r="W99" s="6"/>
      <c r="X99" s="6"/>
      <c r="Y99" s="6"/>
      <c r="Z99" s="6"/>
      <c r="AA99" s="6"/>
      <c r="AB99" s="6"/>
      <c r="AC99" s="6"/>
      <c r="AD99" s="6"/>
      <c r="AE99" s="6"/>
      <c r="AF99" s="6"/>
      <c r="AG99" s="6"/>
      <c r="AH99" s="6"/>
      <c r="AI99" s="6"/>
      <c r="AJ99" s="6"/>
      <c r="AK99" s="6">
        <f>AJ98</f>
        <v>4.0000000000000008E-2</v>
      </c>
      <c r="AL99" s="6">
        <f>AK98</f>
        <v>8.0000000000000016E-2</v>
      </c>
      <c r="AO99" s="8">
        <f>ROW()</f>
        <v>99</v>
      </c>
    </row>
    <row r="100" spans="1:41" s="38" customFormat="1" ht="13.9" customHeight="1" x14ac:dyDescent="0.2">
      <c r="A100"/>
      <c r="B100" s="6" t="s">
        <v>232</v>
      </c>
      <c r="G100"/>
      <c r="H100"/>
      <c r="I100">
        <f t="shared" si="16"/>
        <v>2034</v>
      </c>
      <c r="J100"/>
      <c r="K100" s="6"/>
      <c r="L100" s="6"/>
      <c r="M100" s="84"/>
      <c r="N100" s="84"/>
      <c r="O100" s="84"/>
      <c r="P100" s="6"/>
      <c r="Q100" s="6"/>
      <c r="R100" s="6"/>
      <c r="S100" s="6"/>
      <c r="T100" s="29"/>
      <c r="U100" s="6"/>
      <c r="V100" s="6"/>
      <c r="W100" s="6"/>
      <c r="X100" s="6"/>
      <c r="Y100" s="6"/>
      <c r="Z100" s="6"/>
      <c r="AA100" s="6"/>
      <c r="AB100" s="6"/>
      <c r="AC100" s="6"/>
      <c r="AD100" s="6"/>
      <c r="AE100" s="6"/>
      <c r="AF100" s="6"/>
      <c r="AG100" s="6"/>
      <c r="AH100" s="6"/>
      <c r="AI100" s="6"/>
      <c r="AJ100" s="6"/>
      <c r="AK100" s="6"/>
      <c r="AL100" s="6">
        <f>AK99</f>
        <v>4.0000000000000008E-2</v>
      </c>
      <c r="AO100" s="8">
        <f>ROW()</f>
        <v>100</v>
      </c>
    </row>
    <row r="101" spans="1:41" s="38" customFormat="1" ht="13.9" customHeight="1" x14ac:dyDescent="0.2">
      <c r="A101"/>
      <c r="B101" s="40"/>
      <c r="K101"/>
      <c r="L101"/>
      <c r="M101" s="84"/>
      <c r="N101" s="84"/>
      <c r="O101" s="84"/>
      <c r="AO101" s="8">
        <f>ROW()</f>
        <v>101</v>
      </c>
    </row>
    <row r="102" spans="1:41" s="39" customFormat="1" ht="13.9" customHeight="1" x14ac:dyDescent="0.2">
      <c r="A102"/>
      <c r="B102" s="41" t="s">
        <v>208</v>
      </c>
      <c r="G102"/>
      <c r="H102"/>
      <c r="I102">
        <f>I78</f>
        <v>2012</v>
      </c>
      <c r="J102"/>
      <c r="K102"/>
      <c r="L102"/>
      <c r="M102" s="84"/>
      <c r="N102" s="84"/>
      <c r="O102" s="84"/>
      <c r="P102" s="16">
        <f t="shared" ref="P102:AL102" si="20">(1+$P$67)^(-P78)</f>
        <v>0.99750151023355549</v>
      </c>
      <c r="Q102" s="16">
        <f t="shared" si="20"/>
        <v>0.995009262918224</v>
      </c>
      <c r="R102" s="16">
        <f t="shared" si="20"/>
        <v>0.9925232424573055</v>
      </c>
      <c r="S102" s="16">
        <f t="shared" si="20"/>
        <v>0.99004343329306765</v>
      </c>
      <c r="T102" s="16">
        <f t="shared" si="20"/>
        <v>0.98756981990664938</v>
      </c>
      <c r="U102" s="16">
        <f t="shared" si="20"/>
        <v>0.98510238681796314</v>
      </c>
      <c r="V102" s="16">
        <f t="shared" si="20"/>
        <v>0.98264111858559855</v>
      </c>
      <c r="W102" s="16">
        <f t="shared" si="20"/>
        <v>0.98018599980672494</v>
      </c>
      <c r="X102" s="16">
        <f t="shared" si="20"/>
        <v>0.97773701511699573</v>
      </c>
      <c r="Y102" s="16">
        <f t="shared" si="20"/>
        <v>0.97529414919045188</v>
      </c>
      <c r="Z102" s="16">
        <f t="shared" si="20"/>
        <v>0.97529414919045188</v>
      </c>
      <c r="AA102" s="16">
        <f t="shared" si="20"/>
        <v>0.97529414919045188</v>
      </c>
      <c r="AB102" s="16">
        <f t="shared" si="20"/>
        <v>0.97529414919045188</v>
      </c>
      <c r="AC102" s="16">
        <f t="shared" si="20"/>
        <v>0.97529414919045188</v>
      </c>
      <c r="AD102" s="16">
        <f t="shared" si="20"/>
        <v>0.97529414919045188</v>
      </c>
      <c r="AE102" s="16">
        <f t="shared" si="20"/>
        <v>0.97529414919045188</v>
      </c>
      <c r="AF102" s="16">
        <f t="shared" si="20"/>
        <v>0.97529414919045188</v>
      </c>
      <c r="AG102" s="16">
        <f t="shared" si="20"/>
        <v>0.97529414919045188</v>
      </c>
      <c r="AH102" s="16">
        <f t="shared" si="20"/>
        <v>0.97529414919045188</v>
      </c>
      <c r="AI102" s="16">
        <f t="shared" si="20"/>
        <v>0.97529414919045188</v>
      </c>
      <c r="AJ102" s="16">
        <f t="shared" si="20"/>
        <v>0.97529414919045188</v>
      </c>
      <c r="AK102" s="16">
        <f t="shared" si="20"/>
        <v>0.97529414919045188</v>
      </c>
      <c r="AL102" s="16">
        <f t="shared" si="20"/>
        <v>0.97529414919045188</v>
      </c>
      <c r="AO102" s="8">
        <f>ROW()</f>
        <v>102</v>
      </c>
    </row>
    <row r="103" spans="1:41" ht="13.9" customHeight="1" x14ac:dyDescent="0.2">
      <c r="B103" s="41" t="s">
        <v>208</v>
      </c>
      <c r="C103" s="41"/>
      <c r="I103">
        <f t="shared" ref="I103:I124" si="21">I79</f>
        <v>2013</v>
      </c>
      <c r="M103" s="84"/>
      <c r="P103" s="16">
        <f>(1+$P$67)^(-P79)</f>
        <v>1</v>
      </c>
      <c r="Q103" s="16">
        <f>(1+$Q$67)^(-Q79)</f>
        <v>0.99918173132081345</v>
      </c>
      <c r="R103" s="16">
        <f>(1+$Q$67)^(-R79)</f>
        <v>0.99836413220525833</v>
      </c>
      <c r="S103" s="16">
        <f>(1+$Q$67)^(-S79)</f>
        <v>0.99754720210545156</v>
      </c>
      <c r="T103" s="16">
        <f>(1+$Q$67)^(-T79)</f>
        <v>0.99673094047395849</v>
      </c>
      <c r="U103" s="16">
        <f>(1+$Q$67)^(-U79)</f>
        <v>0.99591534676379267</v>
      </c>
      <c r="V103" s="16">
        <f t="shared" ref="V103:AL103" si="22">(1+$Q$67)^(-V79)</f>
        <v>0.99510042042841462</v>
      </c>
      <c r="W103" s="16">
        <f t="shared" si="22"/>
        <v>0.99428616092173272</v>
      </c>
      <c r="X103" s="16">
        <f t="shared" si="22"/>
        <v>0.99347256769810199</v>
      </c>
      <c r="Y103" s="16">
        <f t="shared" si="22"/>
        <v>0.99265964021232356</v>
      </c>
      <c r="Z103" s="16">
        <f t="shared" si="22"/>
        <v>0.99184737791964539</v>
      </c>
      <c r="AA103" s="16">
        <f t="shared" si="22"/>
        <v>0.99184737791964539</v>
      </c>
      <c r="AB103" s="16">
        <f t="shared" si="22"/>
        <v>0.99184737791964539</v>
      </c>
      <c r="AC103" s="16">
        <f t="shared" si="22"/>
        <v>0.99184737791964539</v>
      </c>
      <c r="AD103" s="16">
        <f t="shared" si="22"/>
        <v>0.99184737791964539</v>
      </c>
      <c r="AE103" s="16">
        <f t="shared" si="22"/>
        <v>0.99184737791964539</v>
      </c>
      <c r="AF103" s="16">
        <f t="shared" si="22"/>
        <v>0.99184737791964539</v>
      </c>
      <c r="AG103" s="16">
        <f t="shared" si="22"/>
        <v>0.99184737791964539</v>
      </c>
      <c r="AH103" s="16">
        <f t="shared" si="22"/>
        <v>0.99184737791964539</v>
      </c>
      <c r="AI103" s="16">
        <f t="shared" si="22"/>
        <v>0.99184737791964539</v>
      </c>
      <c r="AJ103" s="16">
        <f t="shared" si="22"/>
        <v>0.99184737791964539</v>
      </c>
      <c r="AK103" s="16">
        <f t="shared" si="22"/>
        <v>0.99184737791964539</v>
      </c>
      <c r="AL103" s="16">
        <f t="shared" si="22"/>
        <v>0.99184737791964539</v>
      </c>
      <c r="AO103" s="8">
        <f>ROW()</f>
        <v>103</v>
      </c>
    </row>
    <row r="104" spans="1:41" ht="13.9" customHeight="1" x14ac:dyDescent="0.2">
      <c r="B104" s="41" t="s">
        <v>208</v>
      </c>
      <c r="C104" s="41"/>
      <c r="I104">
        <f t="shared" si="21"/>
        <v>2014</v>
      </c>
      <c r="K104" s="3"/>
      <c r="L104" s="3"/>
      <c r="M104" s="129"/>
      <c r="N104" s="129"/>
      <c r="O104" s="129"/>
      <c r="P104" s="16">
        <f t="shared" ref="P104:P124" si="23">(1+$P$67)^(-P80)</f>
        <v>1</v>
      </c>
      <c r="Q104" s="16">
        <f t="shared" ref="Q104:Q124" si="24">(1+$Q$67)^(-Q80)</f>
        <v>1</v>
      </c>
      <c r="R104" s="17">
        <f t="shared" ref="R104:AL104" si="25">(1+$R$67)^(-R80)</f>
        <v>0.99917077031603718</v>
      </c>
      <c r="S104" s="17">
        <f t="shared" si="25"/>
        <v>0.99834222825394336</v>
      </c>
      <c r="T104" s="17">
        <f t="shared" si="25"/>
        <v>0.99751437324352166</v>
      </c>
      <c r="U104" s="17">
        <f t="shared" si="25"/>
        <v>0.99668720471504857</v>
      </c>
      <c r="V104" s="17">
        <f t="shared" si="25"/>
        <v>0.99586072209927301</v>
      </c>
      <c r="W104" s="17">
        <f t="shared" si="25"/>
        <v>0.99503492482741573</v>
      </c>
      <c r="X104" s="17">
        <f t="shared" si="25"/>
        <v>0.99420981233116912</v>
      </c>
      <c r="Y104" s="17">
        <f t="shared" si="25"/>
        <v>0.99338538404269727</v>
      </c>
      <c r="Z104" s="17">
        <f t="shared" si="25"/>
        <v>0.99256163939463427</v>
      </c>
      <c r="AA104" s="17">
        <f t="shared" si="25"/>
        <v>0.99173857782008557</v>
      </c>
      <c r="AB104" s="17">
        <f t="shared" si="25"/>
        <v>0.99173857782008557</v>
      </c>
      <c r="AC104" s="17">
        <f t="shared" si="25"/>
        <v>0.99173857782008557</v>
      </c>
      <c r="AD104" s="17">
        <f t="shared" si="25"/>
        <v>0.99173857782008557</v>
      </c>
      <c r="AE104" s="17">
        <f t="shared" si="25"/>
        <v>0.99173857782008557</v>
      </c>
      <c r="AF104" s="17">
        <f t="shared" si="25"/>
        <v>0.99173857782008557</v>
      </c>
      <c r="AG104" s="17">
        <f t="shared" si="25"/>
        <v>0.99173857782008557</v>
      </c>
      <c r="AH104" s="17">
        <f t="shared" si="25"/>
        <v>0.99173857782008557</v>
      </c>
      <c r="AI104" s="17">
        <f t="shared" si="25"/>
        <v>0.99173857782008557</v>
      </c>
      <c r="AJ104" s="17">
        <f t="shared" si="25"/>
        <v>0.99173857782008557</v>
      </c>
      <c r="AK104" s="17">
        <f t="shared" si="25"/>
        <v>0.99173857782008557</v>
      </c>
      <c r="AL104" s="17">
        <f t="shared" si="25"/>
        <v>0.99173857782008557</v>
      </c>
      <c r="AM104" s="17"/>
      <c r="AO104" s="8">
        <f>ROW()</f>
        <v>104</v>
      </c>
    </row>
    <row r="105" spans="1:41" ht="13.9" customHeight="1" x14ac:dyDescent="0.2">
      <c r="B105" s="41" t="s">
        <v>208</v>
      </c>
      <c r="C105" s="41"/>
      <c r="I105">
        <f t="shared" si="21"/>
        <v>2015</v>
      </c>
      <c r="K105" s="3"/>
      <c r="L105" s="3"/>
      <c r="M105" s="129"/>
      <c r="N105" s="129"/>
      <c r="O105" s="129"/>
      <c r="P105" s="16">
        <f t="shared" si="23"/>
        <v>1</v>
      </c>
      <c r="Q105" s="16">
        <f t="shared" si="24"/>
        <v>1</v>
      </c>
      <c r="R105" s="17">
        <f t="shared" ref="R105:R124" si="26">(1+$R$67)^(-R81)</f>
        <v>1</v>
      </c>
      <c r="S105" s="17">
        <f>(1+$S$67)^(-S81)</f>
        <v>0.99915904772164332</v>
      </c>
      <c r="T105" s="17">
        <f>(1+$S$67)^(-T81)</f>
        <v>0.99831880264402095</v>
      </c>
      <c r="U105" s="17">
        <f t="shared" ref="U105:AL105" si="27">(1+$S$67)^(-U81)</f>
        <v>0.99747926417241128</v>
      </c>
      <c r="V105" s="17">
        <f t="shared" si="27"/>
        <v>0.99664043171259187</v>
      </c>
      <c r="W105" s="17">
        <f t="shared" si="27"/>
        <v>0.99580230467084074</v>
      </c>
      <c r="X105" s="17">
        <f t="shared" si="27"/>
        <v>0.99496488245393477</v>
      </c>
      <c r="Y105" s="17">
        <f t="shared" si="27"/>
        <v>0.99412816446915042</v>
      </c>
      <c r="Z105" s="17">
        <f t="shared" si="27"/>
        <v>0.99329215012426153</v>
      </c>
      <c r="AA105" s="17">
        <f t="shared" si="27"/>
        <v>0.99245683882754054</v>
      </c>
      <c r="AB105" s="17">
        <f t="shared" si="27"/>
        <v>0.99162222998775784</v>
      </c>
      <c r="AC105" s="17">
        <f t="shared" si="27"/>
        <v>0.99162222998775784</v>
      </c>
      <c r="AD105" s="17">
        <f t="shared" si="27"/>
        <v>0.99162222998775784</v>
      </c>
      <c r="AE105" s="17">
        <f t="shared" si="27"/>
        <v>0.99162222998775784</v>
      </c>
      <c r="AF105" s="17">
        <f t="shared" si="27"/>
        <v>0.99162222998775784</v>
      </c>
      <c r="AG105" s="17">
        <f t="shared" si="27"/>
        <v>0.99162222998775784</v>
      </c>
      <c r="AH105" s="17">
        <f t="shared" si="27"/>
        <v>0.99162222998775784</v>
      </c>
      <c r="AI105" s="17">
        <f t="shared" si="27"/>
        <v>0.99162222998775784</v>
      </c>
      <c r="AJ105" s="17">
        <f t="shared" si="27"/>
        <v>0.99162222998775784</v>
      </c>
      <c r="AK105" s="17">
        <f t="shared" si="27"/>
        <v>0.99162222998775784</v>
      </c>
      <c r="AL105" s="17">
        <f t="shared" si="27"/>
        <v>0.99162222998775784</v>
      </c>
      <c r="AO105" s="8">
        <f>ROW()</f>
        <v>105</v>
      </c>
    </row>
    <row r="106" spans="1:41" ht="13.9" customHeight="1" x14ac:dyDescent="0.2">
      <c r="B106" s="41" t="s">
        <v>208</v>
      </c>
      <c r="C106" s="41"/>
      <c r="I106">
        <f t="shared" si="21"/>
        <v>2016</v>
      </c>
      <c r="K106" s="3"/>
      <c r="L106" s="3"/>
      <c r="M106" s="129"/>
      <c r="N106" s="129"/>
      <c r="O106" s="129"/>
      <c r="P106" s="16">
        <f t="shared" si="23"/>
        <v>1</v>
      </c>
      <c r="Q106" s="16">
        <f t="shared" si="24"/>
        <v>1</v>
      </c>
      <c r="R106" s="17">
        <f t="shared" si="26"/>
        <v>1</v>
      </c>
      <c r="S106" s="17">
        <f t="shared" ref="S106:S124" si="28">(1+$S$67)^(-S82)</f>
        <v>1</v>
      </c>
      <c r="T106" s="17">
        <f>(1+$T$67)^(-T82)</f>
        <v>0.9991465225164331</v>
      </c>
      <c r="U106" s="17">
        <f t="shared" ref="U106:AL106" si="29">(1+$T$67)^(-U82)</f>
        <v>0.99829377345668124</v>
      </c>
      <c r="V106" s="17">
        <f t="shared" si="29"/>
        <v>0.99744175219905107</v>
      </c>
      <c r="W106" s="17">
        <f t="shared" si="29"/>
        <v>0.99659045812237979</v>
      </c>
      <c r="X106" s="17">
        <f t="shared" si="29"/>
        <v>0.99573989060603463</v>
      </c>
      <c r="Y106" s="17">
        <f t="shared" si="29"/>
        <v>0.99489004902991318</v>
      </c>
      <c r="Z106" s="17">
        <f t="shared" si="29"/>
        <v>0.9940409327744415</v>
      </c>
      <c r="AA106" s="17">
        <f t="shared" si="29"/>
        <v>0.99319254122057476</v>
      </c>
      <c r="AB106" s="17">
        <f t="shared" si="29"/>
        <v>0.99234487374979641</v>
      </c>
      <c r="AC106" s="17">
        <f t="shared" si="29"/>
        <v>0.9914979297441181</v>
      </c>
      <c r="AD106" s="17">
        <f t="shared" si="29"/>
        <v>0.9914979297441181</v>
      </c>
      <c r="AE106" s="17">
        <f t="shared" si="29"/>
        <v>0.9914979297441181</v>
      </c>
      <c r="AF106" s="17">
        <f t="shared" si="29"/>
        <v>0.9914979297441181</v>
      </c>
      <c r="AG106" s="17">
        <f t="shared" si="29"/>
        <v>0.9914979297441181</v>
      </c>
      <c r="AH106" s="17">
        <f t="shared" si="29"/>
        <v>0.9914979297441181</v>
      </c>
      <c r="AI106" s="17">
        <f t="shared" si="29"/>
        <v>0.9914979297441181</v>
      </c>
      <c r="AJ106" s="17">
        <f t="shared" si="29"/>
        <v>0.9914979297441181</v>
      </c>
      <c r="AK106" s="17">
        <f t="shared" si="29"/>
        <v>0.9914979297441181</v>
      </c>
      <c r="AL106" s="17">
        <f t="shared" si="29"/>
        <v>0.9914979297441181</v>
      </c>
      <c r="AO106" s="8">
        <f>ROW()</f>
        <v>106</v>
      </c>
    </row>
    <row r="107" spans="1:41" ht="13.9" customHeight="1" x14ac:dyDescent="0.2">
      <c r="B107" s="41" t="s">
        <v>208</v>
      </c>
      <c r="C107" s="41"/>
      <c r="I107">
        <f t="shared" si="21"/>
        <v>2017</v>
      </c>
      <c r="K107" s="3"/>
      <c r="L107" s="3"/>
      <c r="M107" s="129"/>
      <c r="N107" s="129"/>
      <c r="O107" s="129"/>
      <c r="P107" s="16">
        <f t="shared" si="23"/>
        <v>1</v>
      </c>
      <c r="Q107" s="16">
        <f t="shared" si="24"/>
        <v>1</v>
      </c>
      <c r="R107" s="17">
        <f t="shared" si="26"/>
        <v>1</v>
      </c>
      <c r="S107" s="17">
        <f t="shared" si="28"/>
        <v>1</v>
      </c>
      <c r="T107" s="17">
        <f t="shared" ref="T107:T124" si="30">(1+$T$67)^(-T83)</f>
        <v>1</v>
      </c>
      <c r="U107" s="17">
        <f>(1+$U$67)^(-U83)</f>
        <v>0.99913315349854948</v>
      </c>
      <c r="V107" s="17">
        <f t="shared" ref="V107:AL107" si="31">(1+$U$67)^(-V83)</f>
        <v>0.998267058419956</v>
      </c>
      <c r="W107" s="17">
        <f t="shared" si="31"/>
        <v>0.99740171411285128</v>
      </c>
      <c r="X107" s="17">
        <f t="shared" si="31"/>
        <v>0.99653711992643179</v>
      </c>
      <c r="Y107" s="17">
        <f t="shared" si="31"/>
        <v>0.9956732752104579</v>
      </c>
      <c r="Z107" s="17">
        <f t="shared" si="31"/>
        <v>0.99481017931525395</v>
      </c>
      <c r="AA107" s="17">
        <f t="shared" si="31"/>
        <v>0.99394783159170719</v>
      </c>
      <c r="AB107" s="17">
        <f t="shared" si="31"/>
        <v>0.99308623139126739</v>
      </c>
      <c r="AC107" s="17">
        <f t="shared" si="31"/>
        <v>0.99222537806594724</v>
      </c>
      <c r="AD107" s="17">
        <f t="shared" si="31"/>
        <v>0.99136527096832028</v>
      </c>
      <c r="AE107" s="17">
        <f t="shared" si="31"/>
        <v>0.99136527096832028</v>
      </c>
      <c r="AF107" s="17">
        <f t="shared" si="31"/>
        <v>0.99136527096832028</v>
      </c>
      <c r="AG107" s="17">
        <f t="shared" si="31"/>
        <v>0.99136527096832028</v>
      </c>
      <c r="AH107" s="17">
        <f t="shared" si="31"/>
        <v>0.99136527096832028</v>
      </c>
      <c r="AI107" s="17">
        <f t="shared" si="31"/>
        <v>0.99136527096832028</v>
      </c>
      <c r="AJ107" s="17">
        <f t="shared" si="31"/>
        <v>0.99136527096832028</v>
      </c>
      <c r="AK107" s="17">
        <f t="shared" si="31"/>
        <v>0.99136527096832028</v>
      </c>
      <c r="AL107" s="17">
        <f t="shared" si="31"/>
        <v>0.99136527096832028</v>
      </c>
      <c r="AO107" s="8">
        <f>ROW()</f>
        <v>107</v>
      </c>
    </row>
    <row r="108" spans="1:41" ht="13.9" customHeight="1" x14ac:dyDescent="0.2">
      <c r="B108" s="41" t="s">
        <v>208</v>
      </c>
      <c r="C108" s="41"/>
      <c r="I108">
        <f t="shared" si="21"/>
        <v>2018</v>
      </c>
      <c r="K108" s="3"/>
      <c r="L108" s="3"/>
      <c r="M108" s="129"/>
      <c r="N108" s="129"/>
      <c r="O108" s="129"/>
      <c r="P108" s="16">
        <f t="shared" si="23"/>
        <v>1</v>
      </c>
      <c r="Q108" s="16">
        <f t="shared" si="24"/>
        <v>1</v>
      </c>
      <c r="R108" s="17">
        <f t="shared" si="26"/>
        <v>1</v>
      </c>
      <c r="S108" s="17">
        <f t="shared" si="28"/>
        <v>1</v>
      </c>
      <c r="T108" s="17">
        <f t="shared" si="30"/>
        <v>1</v>
      </c>
      <c r="U108" s="17">
        <f t="shared" ref="U108:U124" si="32">(1+$U$67)^(-U84)</f>
        <v>1</v>
      </c>
      <c r="V108" s="17">
        <f>(1+$V$67)^(-V84)</f>
        <v>0.99911889969640211</v>
      </c>
      <c r="W108" s="17">
        <f t="shared" ref="W108:AL108" si="33">(1+$V$67)^(-W84)</f>
        <v>0.99823857573054919</v>
      </c>
      <c r="X108" s="17">
        <f t="shared" si="33"/>
        <v>0.99735902741840987</v>
      </c>
      <c r="Y108" s="17">
        <f t="shared" si="33"/>
        <v>0.99648025407655538</v>
      </c>
      <c r="Z108" s="17">
        <f t="shared" si="33"/>
        <v>0.99560225502215915</v>
      </c>
      <c r="AA108" s="17">
        <f t="shared" si="33"/>
        <v>0.99472502957299636</v>
      </c>
      <c r="AB108" s="17">
        <f t="shared" si="33"/>
        <v>0.99384857704744312</v>
      </c>
      <c r="AC108" s="17">
        <f t="shared" si="33"/>
        <v>0.99297289676447609</v>
      </c>
      <c r="AD108" s="17">
        <f t="shared" si="33"/>
        <v>0.99209798804367244</v>
      </c>
      <c r="AE108" s="17">
        <f t="shared" si="33"/>
        <v>0.9912238502052082</v>
      </c>
      <c r="AF108" s="17">
        <f t="shared" si="33"/>
        <v>0.9912238502052082</v>
      </c>
      <c r="AG108" s="17">
        <f t="shared" si="33"/>
        <v>0.9912238502052082</v>
      </c>
      <c r="AH108" s="17">
        <f t="shared" si="33"/>
        <v>0.9912238502052082</v>
      </c>
      <c r="AI108" s="17">
        <f t="shared" si="33"/>
        <v>0.9912238502052082</v>
      </c>
      <c r="AJ108" s="17">
        <f t="shared" si="33"/>
        <v>0.9912238502052082</v>
      </c>
      <c r="AK108" s="17">
        <f t="shared" si="33"/>
        <v>0.9912238502052082</v>
      </c>
      <c r="AL108" s="17">
        <f t="shared" si="33"/>
        <v>0.9912238502052082</v>
      </c>
      <c r="AO108" s="8">
        <f>ROW()</f>
        <v>108</v>
      </c>
    </row>
    <row r="109" spans="1:41" ht="13.9" customHeight="1" x14ac:dyDescent="0.2">
      <c r="B109" s="41" t="s">
        <v>208</v>
      </c>
      <c r="C109" s="41"/>
      <c r="I109">
        <f t="shared" si="21"/>
        <v>2019</v>
      </c>
      <c r="K109" s="3"/>
      <c r="L109" s="3"/>
      <c r="M109" s="129"/>
      <c r="N109" s="129"/>
      <c r="O109" s="129"/>
      <c r="P109" s="16">
        <f t="shared" si="23"/>
        <v>1</v>
      </c>
      <c r="Q109" s="16">
        <f t="shared" si="24"/>
        <v>1</v>
      </c>
      <c r="R109" s="17">
        <f t="shared" si="26"/>
        <v>1</v>
      </c>
      <c r="S109" s="17">
        <f t="shared" si="28"/>
        <v>1</v>
      </c>
      <c r="T109" s="17">
        <f t="shared" si="30"/>
        <v>1</v>
      </c>
      <c r="U109" s="17">
        <f t="shared" si="32"/>
        <v>1</v>
      </c>
      <c r="V109" s="17">
        <f t="shared" ref="V109:V124" si="34">(1+$V$67)^(-V85)</f>
        <v>1</v>
      </c>
      <c r="W109" s="17">
        <f t="shared" ref="W109:AL109" si="35">(1+$W$67)^(-W85)</f>
        <v>0.99910372085804788</v>
      </c>
      <c r="X109" s="17">
        <f t="shared" si="35"/>
        <v>0.99820824503239614</v>
      </c>
      <c r="Y109" s="17">
        <f t="shared" si="35"/>
        <v>0.99731357180304914</v>
      </c>
      <c r="Z109" s="17">
        <f t="shared" si="35"/>
        <v>0.99641970045065631</v>
      </c>
      <c r="AA109" s="17">
        <f t="shared" si="35"/>
        <v>0.99552663025651245</v>
      </c>
      <c r="AB109" s="17">
        <f t="shared" si="35"/>
        <v>0.9946343605025556</v>
      </c>
      <c r="AC109" s="17">
        <f t="shared" si="35"/>
        <v>0.99374289047136843</v>
      </c>
      <c r="AD109" s="17">
        <f t="shared" si="35"/>
        <v>0.99285221944617585</v>
      </c>
      <c r="AE109" s="17">
        <f t="shared" si="35"/>
        <v>0.99196234671084549</v>
      </c>
      <c r="AF109" s="17">
        <f t="shared" si="35"/>
        <v>0.99107327154988656</v>
      </c>
      <c r="AG109" s="17">
        <f t="shared" si="35"/>
        <v>0.99107327154988656</v>
      </c>
      <c r="AH109" s="17">
        <f t="shared" si="35"/>
        <v>0.99107327154988656</v>
      </c>
      <c r="AI109" s="17">
        <f t="shared" si="35"/>
        <v>0.99107327154988656</v>
      </c>
      <c r="AJ109" s="17">
        <f t="shared" si="35"/>
        <v>0.99107327154988656</v>
      </c>
      <c r="AK109" s="17">
        <f t="shared" si="35"/>
        <v>0.99107327154988656</v>
      </c>
      <c r="AL109" s="17">
        <f t="shared" si="35"/>
        <v>0.99107327154988656</v>
      </c>
      <c r="AO109" s="8">
        <f>ROW()</f>
        <v>109</v>
      </c>
    </row>
    <row r="110" spans="1:41" ht="13.9" customHeight="1" x14ac:dyDescent="0.2">
      <c r="B110" s="41" t="s">
        <v>208</v>
      </c>
      <c r="C110" s="41"/>
      <c r="I110">
        <f t="shared" si="21"/>
        <v>2020</v>
      </c>
      <c r="M110" s="84"/>
      <c r="P110" s="16">
        <f t="shared" si="23"/>
        <v>1</v>
      </c>
      <c r="Q110" s="16">
        <f t="shared" si="24"/>
        <v>1</v>
      </c>
      <c r="R110" s="17">
        <f t="shared" si="26"/>
        <v>1</v>
      </c>
      <c r="S110" s="17">
        <f t="shared" si="28"/>
        <v>1</v>
      </c>
      <c r="T110" s="17">
        <f t="shared" si="30"/>
        <v>1</v>
      </c>
      <c r="U110" s="17">
        <f t="shared" si="32"/>
        <v>1</v>
      </c>
      <c r="V110" s="17">
        <f t="shared" si="34"/>
        <v>1</v>
      </c>
      <c r="W110" s="17">
        <f t="shared" ref="W110:W124" si="36">(1+$W$67)^(-W86)</f>
        <v>1</v>
      </c>
      <c r="X110" s="17">
        <f>(1+$X$67)^(-X86)</f>
        <v>0.99908757802704429</v>
      </c>
      <c r="Y110" s="17">
        <f t="shared" ref="Y110:AL110" si="37">(1+$X$67)^(-Y86)</f>
        <v>0.99817598856794543</v>
      </c>
      <c r="Z110" s="17">
        <f t="shared" si="37"/>
        <v>0.99726523086309937</v>
      </c>
      <c r="AA110" s="17">
        <f t="shared" si="37"/>
        <v>0.99635530415359508</v>
      </c>
      <c r="AB110" s="17">
        <f t="shared" si="37"/>
        <v>0.99544620768121428</v>
      </c>
      <c r="AC110" s="17">
        <f t="shared" si="37"/>
        <v>0.99453794068843071</v>
      </c>
      <c r="AD110" s="17">
        <f t="shared" si="37"/>
        <v>0.99363050241840833</v>
      </c>
      <c r="AE110" s="17">
        <f t="shared" si="37"/>
        <v>0.992723892115003</v>
      </c>
      <c r="AF110" s="17">
        <f t="shared" si="37"/>
        <v>0.99181810902275913</v>
      </c>
      <c r="AG110" s="17">
        <f t="shared" si="37"/>
        <v>0.99091315238691147</v>
      </c>
      <c r="AH110" s="17">
        <f t="shared" si="37"/>
        <v>0.99091315238691147</v>
      </c>
      <c r="AI110" s="17">
        <f t="shared" si="37"/>
        <v>0.99091315238691147</v>
      </c>
      <c r="AJ110" s="17">
        <f t="shared" si="37"/>
        <v>0.99091315238691147</v>
      </c>
      <c r="AK110" s="17">
        <f t="shared" si="37"/>
        <v>0.99091315238691147</v>
      </c>
      <c r="AL110" s="17">
        <f t="shared" si="37"/>
        <v>0.99091315238691147</v>
      </c>
      <c r="AO110" s="8">
        <f>ROW()</f>
        <v>110</v>
      </c>
    </row>
    <row r="111" spans="1:41" ht="13.9" customHeight="1" x14ac:dyDescent="0.2">
      <c r="B111" s="41" t="s">
        <v>208</v>
      </c>
      <c r="C111" s="41"/>
      <c r="I111">
        <f t="shared" si="21"/>
        <v>2021</v>
      </c>
      <c r="M111" s="84"/>
      <c r="P111" s="16">
        <f t="shared" si="23"/>
        <v>1</v>
      </c>
      <c r="Q111" s="16">
        <f t="shared" si="24"/>
        <v>1</v>
      </c>
      <c r="R111" s="17">
        <f t="shared" si="26"/>
        <v>1</v>
      </c>
      <c r="S111" s="17">
        <f t="shared" si="28"/>
        <v>1</v>
      </c>
      <c r="T111" s="17">
        <f t="shared" si="30"/>
        <v>1</v>
      </c>
      <c r="U111" s="17">
        <f t="shared" si="32"/>
        <v>1</v>
      </c>
      <c r="V111" s="17">
        <f t="shared" si="34"/>
        <v>1</v>
      </c>
      <c r="W111" s="17">
        <f t="shared" si="36"/>
        <v>1</v>
      </c>
      <c r="X111" s="17">
        <f>(1+$X$67)^(-X87)</f>
        <v>1</v>
      </c>
      <c r="Y111" s="17">
        <f>(1+$Y$67)^(-Y87)</f>
        <v>0.99907043421260688</v>
      </c>
      <c r="Z111" s="17">
        <f t="shared" ref="Z111:AL111" si="38">(1+$Y$67)^(-Z87)</f>
        <v>0.99814173251776694</v>
      </c>
      <c r="AA111" s="17">
        <f t="shared" si="38"/>
        <v>0.99721389411224926</v>
      </c>
      <c r="AB111" s="17">
        <f t="shared" si="38"/>
        <v>0.99628691819356952</v>
      </c>
      <c r="AC111" s="17">
        <f t="shared" si="38"/>
        <v>0.99536080395998949</v>
      </c>
      <c r="AD111" s="17">
        <f t="shared" si="38"/>
        <v>0.99443555061051636</v>
      </c>
      <c r="AE111" s="17">
        <f t="shared" si="38"/>
        <v>0.99351115734490125</v>
      </c>
      <c r="AF111" s="17">
        <f t="shared" si="38"/>
        <v>0.99258762336364015</v>
      </c>
      <c r="AG111" s="17">
        <f t="shared" si="38"/>
        <v>0.99166494786797155</v>
      </c>
      <c r="AH111" s="17">
        <f t="shared" si="38"/>
        <v>0.99074313005987658</v>
      </c>
      <c r="AI111" s="17">
        <f t="shared" si="38"/>
        <v>0.99074313005987658</v>
      </c>
      <c r="AJ111" s="17">
        <f t="shared" si="38"/>
        <v>0.99074313005987658</v>
      </c>
      <c r="AK111" s="17">
        <f t="shared" si="38"/>
        <v>0.99074313005987658</v>
      </c>
      <c r="AL111" s="17">
        <f t="shared" si="38"/>
        <v>0.99074313005987658</v>
      </c>
      <c r="AO111" s="8">
        <f>ROW()</f>
        <v>111</v>
      </c>
    </row>
    <row r="112" spans="1:41" ht="13.9" customHeight="1" x14ac:dyDescent="0.2">
      <c r="B112" s="41" t="s">
        <v>208</v>
      </c>
      <c r="C112" s="41"/>
      <c r="I112">
        <f t="shared" si="21"/>
        <v>2022</v>
      </c>
      <c r="M112" s="84"/>
      <c r="P112" s="16">
        <f t="shared" si="23"/>
        <v>1</v>
      </c>
      <c r="Q112" s="16">
        <f t="shared" si="24"/>
        <v>1</v>
      </c>
      <c r="R112" s="17">
        <f t="shared" si="26"/>
        <v>1</v>
      </c>
      <c r="S112" s="17">
        <f t="shared" si="28"/>
        <v>1</v>
      </c>
      <c r="T112" s="17">
        <f t="shared" si="30"/>
        <v>1</v>
      </c>
      <c r="U112" s="17">
        <f t="shared" si="32"/>
        <v>1</v>
      </c>
      <c r="V112" s="17">
        <f t="shared" si="34"/>
        <v>1</v>
      </c>
      <c r="W112" s="17">
        <f t="shared" si="36"/>
        <v>1</v>
      </c>
      <c r="X112" s="17">
        <f>(1+$X$67)^(-X88)</f>
        <v>1</v>
      </c>
      <c r="Y112" s="17">
        <f>(1+$Y$67)^(-Y88)</f>
        <v>1</v>
      </c>
      <c r="Z112" s="17">
        <f>(1+$Z$67)^(-Z88)</f>
        <v>0.99905225516141039</v>
      </c>
      <c r="AA112" s="17">
        <f t="shared" ref="AA112:AL112" si="39">(1+$Z$67)^(-AA88)</f>
        <v>0.99810540854309993</v>
      </c>
      <c r="AB112" s="17">
        <f t="shared" si="39"/>
        <v>0.99715945929378491</v>
      </c>
      <c r="AC112" s="17">
        <f t="shared" si="39"/>
        <v>0.99621440656298854</v>
      </c>
      <c r="AD112" s="17">
        <f t="shared" si="39"/>
        <v>0.99527024950103982</v>
      </c>
      <c r="AE112" s="17">
        <f t="shared" si="39"/>
        <v>0.99432698725907342</v>
      </c>
      <c r="AF112" s="17">
        <f t="shared" si="39"/>
        <v>0.99338461898902841</v>
      </c>
      <c r="AG112" s="17">
        <f t="shared" si="39"/>
        <v>0.99244314384364729</v>
      </c>
      <c r="AH112" s="17">
        <f t="shared" si="39"/>
        <v>0.99150256097647582</v>
      </c>
      <c r="AI112" s="17">
        <f t="shared" si="39"/>
        <v>0.99056286954186201</v>
      </c>
      <c r="AJ112" s="17">
        <f t="shared" si="39"/>
        <v>0.99056286954186201</v>
      </c>
      <c r="AK112" s="17">
        <f t="shared" si="39"/>
        <v>0.99056286954186201</v>
      </c>
      <c r="AL112" s="17">
        <f t="shared" si="39"/>
        <v>0.99056286954186201</v>
      </c>
      <c r="AO112" s="8">
        <f>ROW()</f>
        <v>112</v>
      </c>
    </row>
    <row r="113" spans="2:41" ht="13.9" customHeight="1" x14ac:dyDescent="0.2">
      <c r="B113" s="41" t="s">
        <v>208</v>
      </c>
      <c r="C113" s="41"/>
      <c r="I113">
        <f t="shared" si="21"/>
        <v>2023</v>
      </c>
      <c r="M113" s="84"/>
      <c r="P113" s="16">
        <f t="shared" si="23"/>
        <v>1</v>
      </c>
      <c r="Q113" s="16">
        <f t="shared" si="24"/>
        <v>1</v>
      </c>
      <c r="R113" s="17">
        <f t="shared" si="26"/>
        <v>1</v>
      </c>
      <c r="S113" s="17">
        <f t="shared" si="28"/>
        <v>1</v>
      </c>
      <c r="T113" s="17">
        <f t="shared" si="30"/>
        <v>1</v>
      </c>
      <c r="U113" s="17">
        <f t="shared" si="32"/>
        <v>1</v>
      </c>
      <c r="V113" s="17">
        <f t="shared" si="34"/>
        <v>1</v>
      </c>
      <c r="W113" s="17">
        <f t="shared" si="36"/>
        <v>1</v>
      </c>
      <c r="X113" s="17">
        <f>(1+$X$67)^(-X89)</f>
        <v>1</v>
      </c>
      <c r="Y113" s="17">
        <f>(1+$Y$67)^(-Y89)</f>
        <v>1</v>
      </c>
      <c r="Z113" s="17">
        <f>(1+$Z$67)^(-Z89)</f>
        <v>1</v>
      </c>
      <c r="AA113" s="17">
        <f>(1+$AA$67)^(-AA89)</f>
        <v>0.99903301023749558</v>
      </c>
      <c r="AB113" s="17">
        <f t="shared" ref="AB113:AL113" si="40">(1+$AA$67)^(-AB89)</f>
        <v>0.99806695554419189</v>
      </c>
      <c r="AC113" s="17">
        <f t="shared" si="40"/>
        <v>0.99710183501588678</v>
      </c>
      <c r="AD113" s="17">
        <f t="shared" si="40"/>
        <v>0.99613764774925195</v>
      </c>
      <c r="AE113" s="17">
        <f t="shared" si="40"/>
        <v>0.99517439284183307</v>
      </c>
      <c r="AF113" s="17">
        <f t="shared" si="40"/>
        <v>0.99421206939204843</v>
      </c>
      <c r="AG113" s="17">
        <f t="shared" si="40"/>
        <v>0.99325067649918797</v>
      </c>
      <c r="AH113" s="17">
        <f t="shared" si="40"/>
        <v>0.9922902132634126</v>
      </c>
      <c r="AI113" s="17">
        <f t="shared" si="40"/>
        <v>0.99133067878575365</v>
      </c>
      <c r="AJ113" s="17">
        <f t="shared" si="40"/>
        <v>0.99037207216811107</v>
      </c>
      <c r="AK113" s="17">
        <f t="shared" si="40"/>
        <v>0.99037207216811107</v>
      </c>
      <c r="AL113" s="17">
        <f t="shared" si="40"/>
        <v>0.99037207216811107</v>
      </c>
      <c r="AO113" s="8">
        <f>ROW()</f>
        <v>113</v>
      </c>
    </row>
    <row r="114" spans="2:41" ht="13.9" customHeight="1" x14ac:dyDescent="0.2">
      <c r="B114" s="41" t="s">
        <v>208</v>
      </c>
      <c r="C114" s="41"/>
      <c r="I114">
        <f t="shared" si="21"/>
        <v>2024</v>
      </c>
      <c r="M114" s="84"/>
      <c r="P114" s="16">
        <f t="shared" si="23"/>
        <v>1</v>
      </c>
      <c r="Q114" s="16">
        <f t="shared" si="24"/>
        <v>1</v>
      </c>
      <c r="R114" s="17">
        <f t="shared" si="26"/>
        <v>1</v>
      </c>
      <c r="S114" s="17">
        <f t="shared" si="28"/>
        <v>1</v>
      </c>
      <c r="T114" s="17">
        <f t="shared" si="30"/>
        <v>1</v>
      </c>
      <c r="U114" s="17">
        <f t="shared" si="32"/>
        <v>1</v>
      </c>
      <c r="V114" s="17">
        <f t="shared" si="34"/>
        <v>1</v>
      </c>
      <c r="W114" s="17">
        <f t="shared" si="36"/>
        <v>1</v>
      </c>
      <c r="X114" s="17">
        <f>(1+$X$67)^(-X90)</f>
        <v>1</v>
      </c>
      <c r="Y114" s="17">
        <f>(1+$Y$67)^(-Y90)</f>
        <v>1</v>
      </c>
      <c r="Z114" s="17">
        <f>(1+$Z$67)^(-Z90)</f>
        <v>1</v>
      </c>
      <c r="AA114" s="17">
        <f>(1+$AA$67)^(-AA90)</f>
        <v>1</v>
      </c>
      <c r="AB114" s="17">
        <f>(1+$AB$67)^(-AB90)</f>
        <v>0.99901267341542288</v>
      </c>
      <c r="AC114" s="17">
        <f t="shared" ref="AC114:AL114" si="41">(1+$AB$67)^(-AC90)</f>
        <v>0.99802632164463057</v>
      </c>
      <c r="AD114" s="17">
        <f t="shared" si="41"/>
        <v>0.99704094372516328</v>
      </c>
      <c r="AE114" s="17">
        <f t="shared" si="41"/>
        <v>0.99605653869551147</v>
      </c>
      <c r="AF114" s="17">
        <f t="shared" si="41"/>
        <v>0.99507310559511564</v>
      </c>
      <c r="AG114" s="17">
        <f t="shared" si="41"/>
        <v>0.99409064346436393</v>
      </c>
      <c r="AH114" s="17">
        <f t="shared" si="41"/>
        <v>0.99310915134459221</v>
      </c>
      <c r="AI114" s="17">
        <f t="shared" si="41"/>
        <v>0.99212862827808301</v>
      </c>
      <c r="AJ114" s="17">
        <f t="shared" si="41"/>
        <v>0.99114907330806412</v>
      </c>
      <c r="AK114" s="17">
        <f t="shared" si="41"/>
        <v>0.99017048547870823</v>
      </c>
      <c r="AL114" s="17">
        <f t="shared" si="41"/>
        <v>0.99017048547870823</v>
      </c>
      <c r="AO114" s="8">
        <f>ROW()</f>
        <v>114</v>
      </c>
    </row>
    <row r="115" spans="2:41" ht="13.9" customHeight="1" x14ac:dyDescent="0.2">
      <c r="B115" s="41" t="s">
        <v>208</v>
      </c>
      <c r="I115">
        <f t="shared" si="21"/>
        <v>2025</v>
      </c>
      <c r="M115" s="84"/>
      <c r="P115" s="16">
        <f t="shared" si="23"/>
        <v>1</v>
      </c>
      <c r="Q115" s="16">
        <f t="shared" si="24"/>
        <v>1</v>
      </c>
      <c r="R115" s="17">
        <f t="shared" si="26"/>
        <v>1</v>
      </c>
      <c r="S115" s="17">
        <f t="shared" si="28"/>
        <v>1</v>
      </c>
      <c r="T115" s="17">
        <f t="shared" si="30"/>
        <v>1</v>
      </c>
      <c r="U115" s="17">
        <f t="shared" si="32"/>
        <v>1</v>
      </c>
      <c r="V115" s="17">
        <f t="shared" si="34"/>
        <v>1</v>
      </c>
      <c r="W115" s="17">
        <f t="shared" si="36"/>
        <v>1</v>
      </c>
      <c r="X115" s="17">
        <f t="shared" ref="X115:X124" si="42">(1+$X$67)^(-X91)</f>
        <v>1</v>
      </c>
      <c r="Y115" s="17">
        <f t="shared" ref="Y115:Y124" si="43">(1+$Y$67)^(-Y91)</f>
        <v>1</v>
      </c>
      <c r="Z115" s="17">
        <f t="shared" ref="Z115:Z124" si="44">(1+$Z$67)^(-Z91)</f>
        <v>1</v>
      </c>
      <c r="AA115" s="17">
        <f t="shared" ref="AA115:AA124" si="45">(1+$AA$67)^(-AA91)</f>
        <v>1</v>
      </c>
      <c r="AB115" s="17">
        <f t="shared" ref="AB115:AL124" si="46">(1+$AB$67)^(-AB91)</f>
        <v>1</v>
      </c>
      <c r="AC115" s="17">
        <f t="shared" si="46"/>
        <v>0.99901267341542288</v>
      </c>
      <c r="AD115" s="17">
        <f t="shared" si="46"/>
        <v>0.99802632164463057</v>
      </c>
      <c r="AE115" s="17">
        <f t="shared" si="46"/>
        <v>0.99704094372516328</v>
      </c>
      <c r="AF115" s="17">
        <f t="shared" si="46"/>
        <v>0.99605653869551147</v>
      </c>
      <c r="AG115" s="17">
        <f t="shared" si="46"/>
        <v>0.99507310559511564</v>
      </c>
      <c r="AH115" s="17">
        <f t="shared" si="46"/>
        <v>0.99409064346436393</v>
      </c>
      <c r="AI115" s="17">
        <f t="shared" si="46"/>
        <v>0.99310915134459221</v>
      </c>
      <c r="AJ115" s="17">
        <f t="shared" si="46"/>
        <v>0.99212862827808301</v>
      </c>
      <c r="AK115" s="17">
        <f t="shared" si="46"/>
        <v>0.99114907330806412</v>
      </c>
      <c r="AL115" s="17">
        <f t="shared" si="46"/>
        <v>0.99017048547870823</v>
      </c>
      <c r="AO115" s="8">
        <f>ROW()</f>
        <v>115</v>
      </c>
    </row>
    <row r="116" spans="2:41" ht="13.9" customHeight="1" x14ac:dyDescent="0.2">
      <c r="B116" s="41" t="s">
        <v>208</v>
      </c>
      <c r="I116">
        <f t="shared" si="21"/>
        <v>2026</v>
      </c>
      <c r="M116" s="84"/>
      <c r="P116" s="16">
        <f t="shared" si="23"/>
        <v>1</v>
      </c>
      <c r="Q116" s="16">
        <f t="shared" si="24"/>
        <v>1</v>
      </c>
      <c r="R116" s="17">
        <f t="shared" si="26"/>
        <v>1</v>
      </c>
      <c r="S116" s="17">
        <f t="shared" si="28"/>
        <v>1</v>
      </c>
      <c r="T116" s="17">
        <f t="shared" si="30"/>
        <v>1</v>
      </c>
      <c r="U116" s="17">
        <f t="shared" si="32"/>
        <v>1</v>
      </c>
      <c r="V116" s="17">
        <f t="shared" si="34"/>
        <v>1</v>
      </c>
      <c r="W116" s="17">
        <f t="shared" si="36"/>
        <v>1</v>
      </c>
      <c r="X116" s="17">
        <f t="shared" si="42"/>
        <v>1</v>
      </c>
      <c r="Y116" s="17">
        <f t="shared" si="43"/>
        <v>1</v>
      </c>
      <c r="Z116" s="17">
        <f t="shared" si="44"/>
        <v>1</v>
      </c>
      <c r="AA116" s="17">
        <f t="shared" si="45"/>
        <v>1</v>
      </c>
      <c r="AB116" s="17">
        <f t="shared" si="46"/>
        <v>1</v>
      </c>
      <c r="AC116" s="17">
        <f t="shared" si="46"/>
        <v>1</v>
      </c>
      <c r="AD116" s="17">
        <f t="shared" si="46"/>
        <v>0.99901267341542288</v>
      </c>
      <c r="AE116" s="17">
        <f t="shared" si="46"/>
        <v>0.99802632164463057</v>
      </c>
      <c r="AF116" s="17">
        <f t="shared" si="46"/>
        <v>0.99704094372516328</v>
      </c>
      <c r="AG116" s="17">
        <f t="shared" si="46"/>
        <v>0.99605653869551147</v>
      </c>
      <c r="AH116" s="17">
        <f t="shared" si="46"/>
        <v>0.99507310559511564</v>
      </c>
      <c r="AI116" s="17">
        <f t="shared" si="46"/>
        <v>0.99409064346436393</v>
      </c>
      <c r="AJ116" s="17">
        <f t="shared" si="46"/>
        <v>0.99310915134459221</v>
      </c>
      <c r="AK116" s="17">
        <f t="shared" si="46"/>
        <v>0.99212862827808301</v>
      </c>
      <c r="AL116" s="17">
        <f t="shared" si="46"/>
        <v>0.99114907330806412</v>
      </c>
      <c r="AO116" s="8">
        <f>ROW()</f>
        <v>116</v>
      </c>
    </row>
    <row r="117" spans="2:41" ht="13.9" customHeight="1" x14ac:dyDescent="0.2">
      <c r="B117" s="41" t="s">
        <v>208</v>
      </c>
      <c r="I117">
        <f t="shared" si="21"/>
        <v>2027</v>
      </c>
      <c r="M117" s="84"/>
      <c r="P117" s="16">
        <f t="shared" si="23"/>
        <v>1</v>
      </c>
      <c r="Q117" s="16">
        <f t="shared" si="24"/>
        <v>1</v>
      </c>
      <c r="R117" s="17">
        <f t="shared" si="26"/>
        <v>1</v>
      </c>
      <c r="S117" s="17">
        <f t="shared" si="28"/>
        <v>1</v>
      </c>
      <c r="T117" s="17">
        <f t="shared" si="30"/>
        <v>1</v>
      </c>
      <c r="U117" s="17">
        <f t="shared" si="32"/>
        <v>1</v>
      </c>
      <c r="V117" s="17">
        <f t="shared" si="34"/>
        <v>1</v>
      </c>
      <c r="W117" s="17">
        <f t="shared" si="36"/>
        <v>1</v>
      </c>
      <c r="X117" s="17">
        <f t="shared" si="42"/>
        <v>1</v>
      </c>
      <c r="Y117" s="17">
        <f t="shared" si="43"/>
        <v>1</v>
      </c>
      <c r="Z117" s="17">
        <f t="shared" si="44"/>
        <v>1</v>
      </c>
      <c r="AA117" s="17">
        <f t="shared" si="45"/>
        <v>1</v>
      </c>
      <c r="AB117" s="17">
        <f t="shared" si="46"/>
        <v>1</v>
      </c>
      <c r="AC117" s="17">
        <f t="shared" si="46"/>
        <v>1</v>
      </c>
      <c r="AD117" s="17">
        <f t="shared" si="46"/>
        <v>1</v>
      </c>
      <c r="AE117" s="17">
        <f t="shared" si="46"/>
        <v>0.99901267341542288</v>
      </c>
      <c r="AF117" s="17">
        <f t="shared" si="46"/>
        <v>0.99802632164463057</v>
      </c>
      <c r="AG117" s="17">
        <f t="shared" si="46"/>
        <v>0.99704094372516328</v>
      </c>
      <c r="AH117" s="17">
        <f t="shared" si="46"/>
        <v>0.99605653869551147</v>
      </c>
      <c r="AI117" s="17">
        <f t="shared" si="46"/>
        <v>0.99507310559511564</v>
      </c>
      <c r="AJ117" s="17">
        <f t="shared" si="46"/>
        <v>0.99409064346436393</v>
      </c>
      <c r="AK117" s="17">
        <f t="shared" si="46"/>
        <v>0.99310915134459221</v>
      </c>
      <c r="AL117" s="17">
        <f t="shared" si="46"/>
        <v>0.99212862827808301</v>
      </c>
      <c r="AO117" s="8">
        <f>ROW()</f>
        <v>117</v>
      </c>
    </row>
    <row r="118" spans="2:41" ht="13.9" customHeight="1" x14ac:dyDescent="0.2">
      <c r="B118" s="41" t="s">
        <v>208</v>
      </c>
      <c r="I118">
        <f t="shared" si="21"/>
        <v>2028</v>
      </c>
      <c r="M118" s="84"/>
      <c r="P118" s="16">
        <f t="shared" si="23"/>
        <v>1</v>
      </c>
      <c r="Q118" s="16">
        <f t="shared" si="24"/>
        <v>1</v>
      </c>
      <c r="R118" s="17">
        <f t="shared" si="26"/>
        <v>1</v>
      </c>
      <c r="S118" s="17">
        <f t="shared" si="28"/>
        <v>1</v>
      </c>
      <c r="T118" s="17">
        <f t="shared" si="30"/>
        <v>1</v>
      </c>
      <c r="U118" s="17">
        <f t="shared" si="32"/>
        <v>1</v>
      </c>
      <c r="V118" s="17">
        <f t="shared" si="34"/>
        <v>1</v>
      </c>
      <c r="W118" s="17">
        <f t="shared" si="36"/>
        <v>1</v>
      </c>
      <c r="X118" s="17">
        <f t="shared" si="42"/>
        <v>1</v>
      </c>
      <c r="Y118" s="17">
        <f t="shared" si="43"/>
        <v>1</v>
      </c>
      <c r="Z118" s="17">
        <f t="shared" si="44"/>
        <v>1</v>
      </c>
      <c r="AA118" s="17">
        <f t="shared" si="45"/>
        <v>1</v>
      </c>
      <c r="AB118" s="17">
        <f t="shared" si="46"/>
        <v>1</v>
      </c>
      <c r="AC118" s="17">
        <f t="shared" si="46"/>
        <v>1</v>
      </c>
      <c r="AD118" s="17">
        <f t="shared" si="46"/>
        <v>1</v>
      </c>
      <c r="AE118" s="17">
        <f t="shared" si="46"/>
        <v>1</v>
      </c>
      <c r="AF118" s="17">
        <f t="shared" si="46"/>
        <v>0.99901267341542288</v>
      </c>
      <c r="AG118" s="17">
        <f t="shared" si="46"/>
        <v>0.99802632164463057</v>
      </c>
      <c r="AH118" s="17">
        <f t="shared" si="46"/>
        <v>0.99704094372516328</v>
      </c>
      <c r="AI118" s="17">
        <f t="shared" si="46"/>
        <v>0.99605653869551147</v>
      </c>
      <c r="AJ118" s="17">
        <f t="shared" si="46"/>
        <v>0.99507310559511564</v>
      </c>
      <c r="AK118" s="17">
        <f t="shared" si="46"/>
        <v>0.99409064346436393</v>
      </c>
      <c r="AL118" s="17">
        <f t="shared" si="46"/>
        <v>0.99310915134459221</v>
      </c>
      <c r="AO118" s="8">
        <f>ROW()</f>
        <v>118</v>
      </c>
    </row>
    <row r="119" spans="2:41" ht="13.9" customHeight="1" x14ac:dyDescent="0.2">
      <c r="B119" s="41" t="s">
        <v>208</v>
      </c>
      <c r="I119">
        <f t="shared" si="21"/>
        <v>2029</v>
      </c>
      <c r="M119" s="84"/>
      <c r="P119" s="16">
        <f t="shared" si="23"/>
        <v>1</v>
      </c>
      <c r="Q119" s="16">
        <f t="shared" si="24"/>
        <v>1</v>
      </c>
      <c r="R119" s="17">
        <f t="shared" si="26"/>
        <v>1</v>
      </c>
      <c r="S119" s="17">
        <f t="shared" si="28"/>
        <v>1</v>
      </c>
      <c r="T119" s="17">
        <f t="shared" si="30"/>
        <v>1</v>
      </c>
      <c r="U119" s="17">
        <f t="shared" si="32"/>
        <v>1</v>
      </c>
      <c r="V119" s="17">
        <f t="shared" si="34"/>
        <v>1</v>
      </c>
      <c r="W119" s="17">
        <f t="shared" si="36"/>
        <v>1</v>
      </c>
      <c r="X119" s="17">
        <f t="shared" si="42"/>
        <v>1</v>
      </c>
      <c r="Y119" s="17">
        <f t="shared" si="43"/>
        <v>1</v>
      </c>
      <c r="Z119" s="17">
        <f t="shared" si="44"/>
        <v>1</v>
      </c>
      <c r="AA119" s="17">
        <f t="shared" si="45"/>
        <v>1</v>
      </c>
      <c r="AB119" s="17">
        <f t="shared" si="46"/>
        <v>1</v>
      </c>
      <c r="AC119" s="17">
        <f t="shared" si="46"/>
        <v>1</v>
      </c>
      <c r="AD119" s="17">
        <f t="shared" si="46"/>
        <v>1</v>
      </c>
      <c r="AE119" s="17">
        <f t="shared" si="46"/>
        <v>1</v>
      </c>
      <c r="AF119" s="17">
        <f t="shared" si="46"/>
        <v>1</v>
      </c>
      <c r="AG119" s="17">
        <f t="shared" si="46"/>
        <v>0.99901267341542288</v>
      </c>
      <c r="AH119" s="17">
        <f t="shared" si="46"/>
        <v>0.99802632164463057</v>
      </c>
      <c r="AI119" s="17">
        <f t="shared" si="46"/>
        <v>0.99704094372516328</v>
      </c>
      <c r="AJ119" s="17">
        <f t="shared" si="46"/>
        <v>0.99605653869551147</v>
      </c>
      <c r="AK119" s="17">
        <f t="shared" si="46"/>
        <v>0.99507310559511564</v>
      </c>
      <c r="AL119" s="17">
        <f t="shared" si="46"/>
        <v>0.99409064346436393</v>
      </c>
      <c r="AO119" s="8">
        <f>ROW()</f>
        <v>119</v>
      </c>
    </row>
    <row r="120" spans="2:41" ht="13.9" customHeight="1" x14ac:dyDescent="0.2">
      <c r="B120" s="41" t="s">
        <v>208</v>
      </c>
      <c r="I120">
        <f t="shared" si="21"/>
        <v>2030</v>
      </c>
      <c r="M120" s="84"/>
      <c r="P120" s="16">
        <f t="shared" si="23"/>
        <v>1</v>
      </c>
      <c r="Q120" s="16">
        <f t="shared" si="24"/>
        <v>1</v>
      </c>
      <c r="R120" s="17">
        <f t="shared" si="26"/>
        <v>1</v>
      </c>
      <c r="S120" s="17">
        <f t="shared" si="28"/>
        <v>1</v>
      </c>
      <c r="T120" s="17">
        <f t="shared" si="30"/>
        <v>1</v>
      </c>
      <c r="U120" s="17">
        <f t="shared" si="32"/>
        <v>1</v>
      </c>
      <c r="V120" s="17">
        <f t="shared" si="34"/>
        <v>1</v>
      </c>
      <c r="W120" s="17">
        <f t="shared" si="36"/>
        <v>1</v>
      </c>
      <c r="X120" s="17">
        <f t="shared" si="42"/>
        <v>1</v>
      </c>
      <c r="Y120" s="17">
        <f t="shared" si="43"/>
        <v>1</v>
      </c>
      <c r="Z120" s="17">
        <f t="shared" si="44"/>
        <v>1</v>
      </c>
      <c r="AA120" s="17">
        <f t="shared" si="45"/>
        <v>1</v>
      </c>
      <c r="AB120" s="17">
        <f t="shared" si="46"/>
        <v>1</v>
      </c>
      <c r="AC120" s="17">
        <f t="shared" si="46"/>
        <v>1</v>
      </c>
      <c r="AD120" s="17">
        <f t="shared" si="46"/>
        <v>1</v>
      </c>
      <c r="AE120" s="17">
        <f t="shared" si="46"/>
        <v>1</v>
      </c>
      <c r="AF120" s="17">
        <f t="shared" si="46"/>
        <v>1</v>
      </c>
      <c r="AG120" s="17">
        <f t="shared" si="46"/>
        <v>1</v>
      </c>
      <c r="AH120" s="17">
        <f t="shared" si="46"/>
        <v>0.99901267341542288</v>
      </c>
      <c r="AI120" s="17">
        <f t="shared" si="46"/>
        <v>0.99802632164463057</v>
      </c>
      <c r="AJ120" s="17">
        <f t="shared" si="46"/>
        <v>0.99704094372516328</v>
      </c>
      <c r="AK120" s="17">
        <f t="shared" si="46"/>
        <v>0.99605653869551147</v>
      </c>
      <c r="AL120" s="17">
        <f t="shared" si="46"/>
        <v>0.99507310559511564</v>
      </c>
      <c r="AO120" s="8">
        <f>ROW()</f>
        <v>120</v>
      </c>
    </row>
    <row r="121" spans="2:41" ht="13.9" customHeight="1" x14ac:dyDescent="0.2">
      <c r="B121" s="41" t="s">
        <v>208</v>
      </c>
      <c r="I121">
        <f t="shared" si="21"/>
        <v>2031</v>
      </c>
      <c r="M121" s="84"/>
      <c r="P121" s="16">
        <f t="shared" si="23"/>
        <v>1</v>
      </c>
      <c r="Q121" s="16">
        <f t="shared" si="24"/>
        <v>1</v>
      </c>
      <c r="R121" s="17">
        <f t="shared" si="26"/>
        <v>1</v>
      </c>
      <c r="S121" s="17">
        <f t="shared" si="28"/>
        <v>1</v>
      </c>
      <c r="T121" s="17">
        <f t="shared" si="30"/>
        <v>1</v>
      </c>
      <c r="U121" s="17">
        <f t="shared" si="32"/>
        <v>1</v>
      </c>
      <c r="V121" s="17">
        <f t="shared" si="34"/>
        <v>1</v>
      </c>
      <c r="W121" s="17">
        <f t="shared" si="36"/>
        <v>1</v>
      </c>
      <c r="X121" s="17">
        <f t="shared" si="42"/>
        <v>1</v>
      </c>
      <c r="Y121" s="17">
        <f t="shared" si="43"/>
        <v>1</v>
      </c>
      <c r="Z121" s="17">
        <f t="shared" si="44"/>
        <v>1</v>
      </c>
      <c r="AA121" s="17">
        <f t="shared" si="45"/>
        <v>1</v>
      </c>
      <c r="AB121" s="17">
        <f t="shared" si="46"/>
        <v>1</v>
      </c>
      <c r="AC121" s="17">
        <f t="shared" si="46"/>
        <v>1</v>
      </c>
      <c r="AD121" s="17">
        <f t="shared" si="46"/>
        <v>1</v>
      </c>
      <c r="AE121" s="17">
        <f t="shared" si="46"/>
        <v>1</v>
      </c>
      <c r="AF121" s="17">
        <f t="shared" si="46"/>
        <v>1</v>
      </c>
      <c r="AG121" s="17">
        <f t="shared" si="46"/>
        <v>1</v>
      </c>
      <c r="AH121" s="17">
        <f t="shared" si="46"/>
        <v>1</v>
      </c>
      <c r="AI121" s="17">
        <f t="shared" si="46"/>
        <v>0.99901267341542288</v>
      </c>
      <c r="AJ121" s="17">
        <f t="shared" si="46"/>
        <v>0.99802632164463057</v>
      </c>
      <c r="AK121" s="17">
        <f t="shared" si="46"/>
        <v>0.99704094372516328</v>
      </c>
      <c r="AL121" s="17">
        <f t="shared" si="46"/>
        <v>0.99605653869551147</v>
      </c>
      <c r="AO121" s="8">
        <f>ROW()</f>
        <v>121</v>
      </c>
    </row>
    <row r="122" spans="2:41" ht="13.9" customHeight="1" x14ac:dyDescent="0.2">
      <c r="B122" s="41" t="s">
        <v>208</v>
      </c>
      <c r="I122">
        <f t="shared" si="21"/>
        <v>2032</v>
      </c>
      <c r="M122" s="84"/>
      <c r="P122" s="16">
        <f t="shared" si="23"/>
        <v>1</v>
      </c>
      <c r="Q122" s="16">
        <f t="shared" si="24"/>
        <v>1</v>
      </c>
      <c r="R122" s="17">
        <f t="shared" si="26"/>
        <v>1</v>
      </c>
      <c r="S122" s="17">
        <f t="shared" si="28"/>
        <v>1</v>
      </c>
      <c r="T122" s="17">
        <f t="shared" si="30"/>
        <v>1</v>
      </c>
      <c r="U122" s="17">
        <f t="shared" si="32"/>
        <v>1</v>
      </c>
      <c r="V122" s="17">
        <f t="shared" si="34"/>
        <v>1</v>
      </c>
      <c r="W122" s="17">
        <f t="shared" si="36"/>
        <v>1</v>
      </c>
      <c r="X122" s="17">
        <f t="shared" si="42"/>
        <v>1</v>
      </c>
      <c r="Y122" s="17">
        <f t="shared" si="43"/>
        <v>1</v>
      </c>
      <c r="Z122" s="17">
        <f t="shared" si="44"/>
        <v>1</v>
      </c>
      <c r="AA122" s="17">
        <f t="shared" si="45"/>
        <v>1</v>
      </c>
      <c r="AB122" s="17">
        <f t="shared" si="46"/>
        <v>1</v>
      </c>
      <c r="AC122" s="17">
        <f t="shared" si="46"/>
        <v>1</v>
      </c>
      <c r="AD122" s="17">
        <f t="shared" si="46"/>
        <v>1</v>
      </c>
      <c r="AE122" s="17">
        <f t="shared" si="46"/>
        <v>1</v>
      </c>
      <c r="AF122" s="17">
        <f t="shared" si="46"/>
        <v>1</v>
      </c>
      <c r="AG122" s="17">
        <f t="shared" si="46"/>
        <v>1</v>
      </c>
      <c r="AH122" s="17">
        <f t="shared" si="46"/>
        <v>1</v>
      </c>
      <c r="AI122" s="17">
        <f t="shared" si="46"/>
        <v>1</v>
      </c>
      <c r="AJ122" s="17">
        <f t="shared" si="46"/>
        <v>0.99901267341542288</v>
      </c>
      <c r="AK122" s="17">
        <f t="shared" si="46"/>
        <v>0.99802632164463057</v>
      </c>
      <c r="AL122" s="17">
        <f t="shared" si="46"/>
        <v>0.99704094372516328</v>
      </c>
      <c r="AO122" s="8">
        <f>ROW()</f>
        <v>122</v>
      </c>
    </row>
    <row r="123" spans="2:41" ht="13.9" customHeight="1" x14ac:dyDescent="0.2">
      <c r="B123" s="41" t="s">
        <v>208</v>
      </c>
      <c r="I123">
        <f t="shared" si="21"/>
        <v>2033</v>
      </c>
      <c r="M123" s="84"/>
      <c r="P123" s="16">
        <f t="shared" si="23"/>
        <v>1</v>
      </c>
      <c r="Q123" s="16">
        <f t="shared" si="24"/>
        <v>1</v>
      </c>
      <c r="R123" s="17">
        <f t="shared" si="26"/>
        <v>1</v>
      </c>
      <c r="S123" s="17">
        <f t="shared" si="28"/>
        <v>1</v>
      </c>
      <c r="T123" s="17">
        <f t="shared" si="30"/>
        <v>1</v>
      </c>
      <c r="U123" s="17">
        <f t="shared" si="32"/>
        <v>1</v>
      </c>
      <c r="V123" s="17">
        <f t="shared" si="34"/>
        <v>1</v>
      </c>
      <c r="W123" s="17">
        <f t="shared" si="36"/>
        <v>1</v>
      </c>
      <c r="X123" s="17">
        <f t="shared" si="42"/>
        <v>1</v>
      </c>
      <c r="Y123" s="17">
        <f t="shared" si="43"/>
        <v>1</v>
      </c>
      <c r="Z123" s="17">
        <f t="shared" si="44"/>
        <v>1</v>
      </c>
      <c r="AA123" s="17">
        <f t="shared" si="45"/>
        <v>1</v>
      </c>
      <c r="AB123" s="17">
        <f t="shared" si="46"/>
        <v>1</v>
      </c>
      <c r="AC123" s="17">
        <f t="shared" si="46"/>
        <v>1</v>
      </c>
      <c r="AD123" s="17">
        <f t="shared" si="46"/>
        <v>1</v>
      </c>
      <c r="AE123" s="17">
        <f t="shared" si="46"/>
        <v>1</v>
      </c>
      <c r="AF123" s="17">
        <f t="shared" si="46"/>
        <v>1</v>
      </c>
      <c r="AG123" s="17">
        <f t="shared" si="46"/>
        <v>1</v>
      </c>
      <c r="AH123" s="17">
        <f t="shared" si="46"/>
        <v>1</v>
      </c>
      <c r="AI123" s="17">
        <f t="shared" si="46"/>
        <v>1</v>
      </c>
      <c r="AJ123" s="17">
        <f t="shared" si="46"/>
        <v>1</v>
      </c>
      <c r="AK123" s="17">
        <f t="shared" si="46"/>
        <v>0.99901267341542288</v>
      </c>
      <c r="AL123" s="17">
        <f t="shared" si="46"/>
        <v>0.99802632164463057</v>
      </c>
      <c r="AO123" s="8">
        <f>ROW()</f>
        <v>123</v>
      </c>
    </row>
    <row r="124" spans="2:41" ht="13.9" customHeight="1" x14ac:dyDescent="0.2">
      <c r="B124" s="41" t="s">
        <v>208</v>
      </c>
      <c r="I124">
        <f t="shared" si="21"/>
        <v>2034</v>
      </c>
      <c r="M124" s="84"/>
      <c r="P124" s="16">
        <f t="shared" si="23"/>
        <v>1</v>
      </c>
      <c r="Q124" s="16">
        <f t="shared" si="24"/>
        <v>1</v>
      </c>
      <c r="R124" s="17">
        <f t="shared" si="26"/>
        <v>1</v>
      </c>
      <c r="S124" s="17">
        <f t="shared" si="28"/>
        <v>1</v>
      </c>
      <c r="T124" s="17">
        <f t="shared" si="30"/>
        <v>1</v>
      </c>
      <c r="U124" s="17">
        <f t="shared" si="32"/>
        <v>1</v>
      </c>
      <c r="V124" s="17">
        <f t="shared" si="34"/>
        <v>1</v>
      </c>
      <c r="W124" s="17">
        <f t="shared" si="36"/>
        <v>1</v>
      </c>
      <c r="X124" s="17">
        <f t="shared" si="42"/>
        <v>1</v>
      </c>
      <c r="Y124" s="17">
        <f t="shared" si="43"/>
        <v>1</v>
      </c>
      <c r="Z124" s="17">
        <f t="shared" si="44"/>
        <v>1</v>
      </c>
      <c r="AA124" s="17">
        <f t="shared" si="45"/>
        <v>1</v>
      </c>
      <c r="AB124" s="17">
        <f t="shared" si="46"/>
        <v>1</v>
      </c>
      <c r="AC124" s="17">
        <f t="shared" si="46"/>
        <v>1</v>
      </c>
      <c r="AD124" s="17">
        <f t="shared" si="46"/>
        <v>1</v>
      </c>
      <c r="AE124" s="17">
        <f t="shared" si="46"/>
        <v>1</v>
      </c>
      <c r="AF124" s="17">
        <f t="shared" si="46"/>
        <v>1</v>
      </c>
      <c r="AG124" s="17">
        <f t="shared" si="46"/>
        <v>1</v>
      </c>
      <c r="AH124" s="17">
        <f t="shared" si="46"/>
        <v>1</v>
      </c>
      <c r="AI124" s="17">
        <f t="shared" si="46"/>
        <v>1</v>
      </c>
      <c r="AJ124" s="17">
        <f t="shared" si="46"/>
        <v>1</v>
      </c>
      <c r="AK124" s="17">
        <f t="shared" si="46"/>
        <v>1</v>
      </c>
      <c r="AL124" s="17">
        <f t="shared" si="46"/>
        <v>0.99901267341542288</v>
      </c>
      <c r="AO124" s="8">
        <f>ROW()</f>
        <v>124</v>
      </c>
    </row>
    <row r="125" spans="2:41" ht="13.9" customHeight="1" x14ac:dyDescent="0.2">
      <c r="M125" s="84"/>
      <c r="AO125" s="8">
        <f>ROW()</f>
        <v>125</v>
      </c>
    </row>
    <row r="126" spans="2:41" ht="13.9" customHeight="1" x14ac:dyDescent="0.2">
      <c r="B126" t="s">
        <v>590</v>
      </c>
      <c r="M126" s="84"/>
      <c r="P126" s="39">
        <f t="shared" ref="P126:AL126" si="47">PRODUCT(P102:P124)-1</f>
        <v>-2.4984897664445116E-3</v>
      </c>
      <c r="Q126" s="39">
        <f t="shared" si="47"/>
        <v>-5.8049219971224586E-3</v>
      </c>
      <c r="R126" s="39">
        <f t="shared" si="47"/>
        <v>-9.9220777173945063E-3</v>
      </c>
      <c r="S126" s="39">
        <f t="shared" si="47"/>
        <v>-1.4851343784042625E-2</v>
      </c>
      <c r="T126" s="39">
        <f t="shared" si="47"/>
        <v>-2.059268481118437E-2</v>
      </c>
      <c r="U126" s="39">
        <f t="shared" si="47"/>
        <v>-2.7144613864636624E-2</v>
      </c>
      <c r="V126" s="39">
        <f t="shared" si="47"/>
        <v>-3.450416144734314E-2</v>
      </c>
      <c r="W126" s="39">
        <f t="shared" si="47"/>
        <v>-4.2666842307261033E-2</v>
      </c>
      <c r="X126" s="39">
        <f t="shared" si="47"/>
        <v>-5.1626619624477454E-2</v>
      </c>
      <c r="Y126" s="39">
        <f t="shared" si="47"/>
        <v>-6.137586617933144E-2</v>
      </c>
      <c r="Z126" s="39">
        <f t="shared" si="47"/>
        <v>-6.958067901940157E-2</v>
      </c>
      <c r="AA126" s="39">
        <f t="shared" si="47"/>
        <v>-7.7851046709824123E-2</v>
      </c>
      <c r="AB126" s="39">
        <f t="shared" si="47"/>
        <v>-8.6192513165920026E-2</v>
      </c>
      <c r="AC126" s="39">
        <f t="shared" si="47"/>
        <v>-9.4591184932082184E-2</v>
      </c>
      <c r="AD126" s="39">
        <f t="shared" si="47"/>
        <v>-0.10303284262850398</v>
      </c>
      <c r="AE126" s="39">
        <f t="shared" si="47"/>
        <v>-0.11150294578943387</v>
      </c>
      <c r="AF126" s="39">
        <f t="shared" si="47"/>
        <v>-0.11998663830050316</v>
      </c>
      <c r="AG126" s="39">
        <f t="shared" si="47"/>
        <v>-0.12846875454835771</v>
      </c>
      <c r="AH126" s="39">
        <f t="shared" si="47"/>
        <v>-0.13693382641092866</v>
      </c>
      <c r="AI126" s="39">
        <f t="shared" si="47"/>
        <v>-0.14536609123259703</v>
      </c>
      <c r="AJ126" s="39">
        <f t="shared" si="47"/>
        <v>-0.15374950094534034</v>
      </c>
      <c r="AK126" s="39">
        <f t="shared" si="47"/>
        <v>-0.16206773251444861</v>
      </c>
      <c r="AL126" s="39">
        <f t="shared" si="47"/>
        <v>-0.17030419990555679</v>
      </c>
      <c r="AO126" s="8">
        <f>ROW()</f>
        <v>126</v>
      </c>
    </row>
    <row r="127" spans="2:41" ht="13.9" customHeight="1" x14ac:dyDescent="0.2">
      <c r="M127" s="84"/>
      <c r="AO127" s="8">
        <f>ROW()</f>
        <v>127</v>
      </c>
    </row>
    <row r="128" spans="2:41" ht="13.9" customHeight="1" x14ac:dyDescent="0.2">
      <c r="B128" s="9" t="s">
        <v>215</v>
      </c>
      <c r="D128" t="s">
        <v>147</v>
      </c>
      <c r="M128" s="84"/>
      <c r="P128" s="17"/>
      <c r="Q128" s="17"/>
      <c r="AO128" s="8">
        <f>ROW()</f>
        <v>128</v>
      </c>
    </row>
    <row r="129" spans="1:41" ht="13.9" customHeight="1" x14ac:dyDescent="0.2">
      <c r="M129" s="84"/>
      <c r="AO129" s="8">
        <f>ROW()</f>
        <v>129</v>
      </c>
    </row>
    <row r="130" spans="1:41" ht="13.9" customHeight="1" x14ac:dyDescent="0.2">
      <c r="B130" s="456" t="s">
        <v>179</v>
      </c>
      <c r="C130" s="456"/>
      <c r="D130" s="456"/>
      <c r="E130" s="456"/>
      <c r="F130" s="456"/>
      <c r="G130" s="456"/>
      <c r="H130" s="456"/>
      <c r="I130" s="456"/>
      <c r="J130" s="69"/>
      <c r="M130" s="84"/>
      <c r="AO130" s="8">
        <f>ROW()</f>
        <v>130</v>
      </c>
    </row>
    <row r="131" spans="1:41" ht="13.9" customHeight="1" x14ac:dyDescent="0.2">
      <c r="B131" s="456"/>
      <c r="C131" s="456"/>
      <c r="D131" s="456"/>
      <c r="E131" s="456"/>
      <c r="F131" s="456"/>
      <c r="G131" s="456"/>
      <c r="H131" s="456"/>
      <c r="I131" s="456"/>
      <c r="J131" s="69"/>
      <c r="M131" s="84"/>
      <c r="AO131" s="8">
        <f>ROW()</f>
        <v>131</v>
      </c>
    </row>
    <row r="132" spans="1:41" ht="13.9" customHeight="1" x14ac:dyDescent="0.2">
      <c r="M132" s="84"/>
      <c r="AO132" s="8">
        <f>ROW()</f>
        <v>132</v>
      </c>
    </row>
    <row r="133" spans="1:41" ht="13.9" customHeight="1" x14ac:dyDescent="0.2">
      <c r="B133" s="14" t="s">
        <v>218</v>
      </c>
      <c r="F133" s="13"/>
      <c r="G133" s="13">
        <v>2020</v>
      </c>
      <c r="H133" s="13"/>
      <c r="M133" s="84"/>
      <c r="AO133" s="8">
        <f>ROW()</f>
        <v>133</v>
      </c>
    </row>
    <row r="134" spans="1:41" ht="13.9" customHeight="1" x14ac:dyDescent="0.2">
      <c r="M134" s="84"/>
      <c r="AO134" s="8">
        <f>ROW()</f>
        <v>134</v>
      </c>
    </row>
    <row r="135" spans="1:41" ht="13.9" customHeight="1" x14ac:dyDescent="0.2">
      <c r="A135" s="14"/>
      <c r="B135" t="s">
        <v>227</v>
      </c>
      <c r="G135" s="47">
        <f>AB42</f>
        <v>146370.93176171734</v>
      </c>
      <c r="H135" s="47"/>
      <c r="M135" s="84"/>
      <c r="AO135" s="8">
        <f>ROW()</f>
        <v>135</v>
      </c>
    </row>
    <row r="136" spans="1:41" ht="13.9" customHeight="1" x14ac:dyDescent="0.2">
      <c r="B136" t="s">
        <v>228</v>
      </c>
      <c r="G136" s="47">
        <f>AB59</f>
        <v>133754.85329873752</v>
      </c>
      <c r="H136" s="47"/>
      <c r="M136" s="84"/>
      <c r="AO136" s="8">
        <f>ROW()</f>
        <v>136</v>
      </c>
    </row>
    <row r="137" spans="1:41" s="14" customFormat="1" ht="13.9" customHeight="1" x14ac:dyDescent="0.2">
      <c r="A137"/>
      <c r="B137" s="14" t="s">
        <v>10</v>
      </c>
      <c r="G137" s="48">
        <f>G136/G135</f>
        <v>0.91380748683407986</v>
      </c>
      <c r="H137" s="48"/>
      <c r="M137" s="209"/>
      <c r="N137" s="209"/>
      <c r="O137" s="209"/>
      <c r="AO137" s="8">
        <f>ROW()</f>
        <v>137</v>
      </c>
    </row>
    <row r="138" spans="1:41" ht="13.9" customHeight="1" x14ac:dyDescent="0.2">
      <c r="M138" s="84"/>
      <c r="AO138" s="8">
        <f>ROW()</f>
        <v>138</v>
      </c>
    </row>
    <row r="139" spans="1:41" ht="13.9" customHeight="1" x14ac:dyDescent="0.2">
      <c r="A139" s="14"/>
      <c r="B139" t="s">
        <v>0</v>
      </c>
      <c r="G139" s="23">
        <f>K55</f>
        <v>19.570435014151581</v>
      </c>
      <c r="H139" s="23"/>
      <c r="M139" s="84"/>
      <c r="AO139" s="8">
        <f>ROW()</f>
        <v>139</v>
      </c>
    </row>
    <row r="140" spans="1:41" ht="13.9" customHeight="1" x14ac:dyDescent="0.2">
      <c r="B140" t="s">
        <v>1</v>
      </c>
      <c r="G140" s="23">
        <f>AB55</f>
        <v>18.962773173297425</v>
      </c>
      <c r="H140" s="23"/>
      <c r="M140" s="84"/>
      <c r="AO140" s="8">
        <f>ROW()</f>
        <v>140</v>
      </c>
    </row>
    <row r="141" spans="1:41" s="14" customFormat="1" ht="13.9" customHeight="1" x14ac:dyDescent="0.2">
      <c r="A141"/>
      <c r="B141" s="14" t="s">
        <v>10</v>
      </c>
      <c r="G141" s="48">
        <f>G140/G139</f>
        <v>0.9689500084993129</v>
      </c>
      <c r="H141" s="48"/>
      <c r="M141" s="209"/>
      <c r="N141" s="209"/>
      <c r="O141" s="209"/>
      <c r="AO141" s="8">
        <f>ROW()</f>
        <v>141</v>
      </c>
    </row>
    <row r="142" spans="1:41" ht="13.9" customHeight="1" x14ac:dyDescent="0.2">
      <c r="G142" s="23"/>
      <c r="H142" s="23"/>
      <c r="M142" s="84"/>
      <c r="AO142" s="8">
        <f>ROW()</f>
        <v>142</v>
      </c>
    </row>
    <row r="143" spans="1:41" ht="13.9" customHeight="1" x14ac:dyDescent="0.2">
      <c r="B143" s="3" t="s">
        <v>300</v>
      </c>
      <c r="G143" s="23"/>
      <c r="H143" s="23"/>
      <c r="M143" s="84"/>
      <c r="AO143" s="8">
        <f>ROW()</f>
        <v>143</v>
      </c>
    </row>
    <row r="144" spans="1:41" ht="13.9" customHeight="1" x14ac:dyDescent="0.2">
      <c r="A144" s="14"/>
      <c r="B144" t="s">
        <v>220</v>
      </c>
      <c r="G144" s="23">
        <f>AB46</f>
        <v>1299.1123845820882</v>
      </c>
      <c r="H144" s="23"/>
      <c r="M144" s="84"/>
      <c r="AO144" s="8">
        <f>ROW()</f>
        <v>144</v>
      </c>
    </row>
    <row r="145" spans="1:41" ht="13.9" customHeight="1" x14ac:dyDescent="0.2">
      <c r="A145" s="14"/>
      <c r="B145" t="s">
        <v>222</v>
      </c>
      <c r="G145" s="23">
        <f>AB60</f>
        <v>1150.2779791073162</v>
      </c>
      <c r="H145" s="23"/>
      <c r="M145" s="84"/>
      <c r="AO145" s="8">
        <f>ROW()</f>
        <v>145</v>
      </c>
    </row>
    <row r="146" spans="1:41" ht="13.9" customHeight="1" x14ac:dyDescent="0.2">
      <c r="A146" s="14"/>
      <c r="B146" s="14" t="s">
        <v>10</v>
      </c>
      <c r="C146" s="14"/>
      <c r="D146" s="14"/>
      <c r="E146" s="14"/>
      <c r="F146" s="14"/>
      <c r="G146" s="68">
        <f>G145/G144</f>
        <v>0.88543377213461749</v>
      </c>
      <c r="H146" s="68"/>
      <c r="M146" s="84"/>
      <c r="AO146" s="8">
        <f>ROW()</f>
        <v>146</v>
      </c>
    </row>
    <row r="147" spans="1:41" ht="13.9" customHeight="1" x14ac:dyDescent="0.2">
      <c r="G147" s="23"/>
      <c r="H147" s="23"/>
      <c r="M147" s="84"/>
      <c r="AO147" s="8">
        <f>ROW()</f>
        <v>147</v>
      </c>
    </row>
    <row r="148" spans="1:41" ht="13.9" customHeight="1" x14ac:dyDescent="0.2">
      <c r="B148" s="14" t="s">
        <v>9</v>
      </c>
      <c r="C148" s="14"/>
      <c r="D148" s="14"/>
      <c r="E148" s="14"/>
      <c r="F148" s="14"/>
      <c r="G148" s="68">
        <f>G141*G137</f>
        <v>0.88543377213461749</v>
      </c>
      <c r="H148" s="68"/>
      <c r="M148" s="84"/>
      <c r="AO148" s="8">
        <f>ROW()</f>
        <v>148</v>
      </c>
    </row>
    <row r="149" spans="1:41" ht="13.9" customHeight="1" x14ac:dyDescent="0.2">
      <c r="G149" s="23"/>
      <c r="H149" s="23"/>
      <c r="M149" s="84"/>
      <c r="AO149" s="8">
        <f>ROW()</f>
        <v>149</v>
      </c>
    </row>
    <row r="150" spans="1:41" ht="13.9" customHeight="1" x14ac:dyDescent="0.2">
      <c r="B150" t="s">
        <v>223</v>
      </c>
      <c r="G150" s="23"/>
      <c r="H150" s="23"/>
      <c r="M150" s="84"/>
      <c r="AO150" s="8">
        <f>ROW()</f>
        <v>150</v>
      </c>
    </row>
    <row r="151" spans="1:41" ht="13.9" customHeight="1" x14ac:dyDescent="0.2">
      <c r="B151" t="s">
        <v>224</v>
      </c>
      <c r="G151" s="7">
        <f>(1-G137)/(1-G141)</f>
        <v>2.7759271098033245</v>
      </c>
      <c r="H151" s="7"/>
      <c r="M151" s="84"/>
      <c r="AO151" s="8">
        <f>ROW()</f>
        <v>151</v>
      </c>
    </row>
    <row r="152" spans="1:41" ht="13.9" customHeight="1" x14ac:dyDescent="0.2">
      <c r="M152" s="84"/>
      <c r="AO152" s="8">
        <f>ROW()</f>
        <v>152</v>
      </c>
    </row>
    <row r="153" spans="1:41" ht="13.9" customHeight="1" x14ac:dyDescent="0.2">
      <c r="B153" s="49" t="s">
        <v>225</v>
      </c>
      <c r="C153" s="50"/>
      <c r="D153" s="50"/>
      <c r="E153" s="50"/>
      <c r="F153" s="50"/>
      <c r="G153" s="51">
        <f>G151/(1+G151)</f>
        <v>0.73516437925834677</v>
      </c>
      <c r="H153" s="132"/>
      <c r="M153" s="84"/>
      <c r="AO153" s="8">
        <f>ROW()</f>
        <v>153</v>
      </c>
    </row>
    <row r="154" spans="1:41" ht="13.9" customHeight="1" x14ac:dyDescent="0.2">
      <c r="B154" s="52" t="s">
        <v>226</v>
      </c>
      <c r="C154" s="53"/>
      <c r="D154" s="53"/>
      <c r="E154" s="53"/>
      <c r="F154" s="53"/>
      <c r="G154" s="54">
        <f>1-G153</f>
        <v>0.26483562074165323</v>
      </c>
      <c r="H154" s="133"/>
      <c r="M154" s="84"/>
      <c r="AO154" s="8">
        <f>ROW()</f>
        <v>154</v>
      </c>
    </row>
    <row r="155" spans="1:41" ht="13.9" customHeight="1" x14ac:dyDescent="0.2">
      <c r="M155" s="84"/>
    </row>
    <row r="156" spans="1:41" ht="13.9" customHeight="1" x14ac:dyDescent="0.2">
      <c r="M156" s="84"/>
    </row>
    <row r="157" spans="1:41" ht="13.9" customHeight="1" x14ac:dyDescent="0.2">
      <c r="M157" s="84"/>
    </row>
    <row r="158" spans="1:41" ht="13.9" customHeight="1" x14ac:dyDescent="0.2">
      <c r="M158" s="84"/>
    </row>
    <row r="159" spans="1:41" ht="13.9" customHeight="1" x14ac:dyDescent="0.2">
      <c r="M159" s="84"/>
    </row>
    <row r="160" spans="1:41" ht="13.9" customHeight="1" x14ac:dyDescent="0.2">
      <c r="M160" s="84"/>
    </row>
    <row r="161" spans="13:13" ht="13.9" customHeight="1" x14ac:dyDescent="0.2">
      <c r="M161" s="84"/>
    </row>
    <row r="162" spans="13:13" ht="13.9" customHeight="1" x14ac:dyDescent="0.2">
      <c r="M162" s="84"/>
    </row>
    <row r="163" spans="13:13" ht="13.9" customHeight="1" x14ac:dyDescent="0.2">
      <c r="M163" s="84"/>
    </row>
    <row r="164" spans="13:13" ht="13.9" customHeight="1" x14ac:dyDescent="0.2">
      <c r="M164" s="84"/>
    </row>
    <row r="165" spans="13:13" ht="13.9" customHeight="1" x14ac:dyDescent="0.2">
      <c r="M165" s="84"/>
    </row>
    <row r="166" spans="13:13" ht="13.9" customHeight="1" x14ac:dyDescent="0.2">
      <c r="M166" s="84"/>
    </row>
    <row r="167" spans="13:13" ht="13.9" customHeight="1" x14ac:dyDescent="0.2">
      <c r="M167" s="84"/>
    </row>
    <row r="168" spans="13:13" ht="13.9" customHeight="1" x14ac:dyDescent="0.2">
      <c r="M168" s="84"/>
    </row>
    <row r="169" spans="13:13" ht="13.9" customHeight="1" x14ac:dyDescent="0.2">
      <c r="M169" s="84"/>
    </row>
    <row r="170" spans="13:13" ht="13.9" customHeight="1" x14ac:dyDescent="0.2">
      <c r="M170" s="84"/>
    </row>
    <row r="171" spans="13:13" ht="13.9" customHeight="1" x14ac:dyDescent="0.2">
      <c r="M171" s="84"/>
    </row>
    <row r="172" spans="13:13" ht="13.9" customHeight="1" x14ac:dyDescent="0.2">
      <c r="M172" s="84"/>
    </row>
    <row r="173" spans="13:13" ht="13.9" customHeight="1" x14ac:dyDescent="0.2">
      <c r="M173" s="84"/>
    </row>
    <row r="174" spans="13:13" ht="13.9" customHeight="1" x14ac:dyDescent="0.2">
      <c r="M174" s="84"/>
    </row>
    <row r="175" spans="13:13" ht="13.9" customHeight="1" x14ac:dyDescent="0.2">
      <c r="M175" s="84"/>
    </row>
    <row r="176" spans="13:13" ht="13.9" customHeight="1" x14ac:dyDescent="0.2">
      <c r="M176" s="84"/>
    </row>
    <row r="177" spans="13:13" ht="13.9" customHeight="1" x14ac:dyDescent="0.2">
      <c r="M177" s="84"/>
    </row>
    <row r="178" spans="13:13" ht="13.9" customHeight="1" x14ac:dyDescent="0.2">
      <c r="M178" s="84"/>
    </row>
    <row r="179" spans="13:13" ht="13.9" customHeight="1" x14ac:dyDescent="0.2">
      <c r="M179" s="84"/>
    </row>
    <row r="180" spans="13:13" ht="13.9" customHeight="1" x14ac:dyDescent="0.2">
      <c r="M180" s="84"/>
    </row>
    <row r="181" spans="13:13" ht="13.9" customHeight="1" x14ac:dyDescent="0.2">
      <c r="M181" s="84"/>
    </row>
    <row r="182" spans="13:13" ht="13.9" customHeight="1" x14ac:dyDescent="0.2">
      <c r="M182" s="84"/>
    </row>
    <row r="183" spans="13:13" ht="13.9" customHeight="1" x14ac:dyDescent="0.2">
      <c r="M183" s="84"/>
    </row>
    <row r="184" spans="13:13" ht="13.9" customHeight="1" x14ac:dyDescent="0.2">
      <c r="M184" s="84"/>
    </row>
    <row r="185" spans="13:13" ht="13.9" customHeight="1" x14ac:dyDescent="0.2">
      <c r="M185" s="84"/>
    </row>
    <row r="186" spans="13:13" ht="13.9" customHeight="1" x14ac:dyDescent="0.2">
      <c r="M186" s="84"/>
    </row>
    <row r="187" spans="13:13" ht="13.9" customHeight="1" x14ac:dyDescent="0.2">
      <c r="M187" s="84"/>
    </row>
    <row r="188" spans="13:13" ht="13.9" customHeight="1" x14ac:dyDescent="0.2">
      <c r="M188" s="84"/>
    </row>
    <row r="189" spans="13:13" ht="13.9" customHeight="1" x14ac:dyDescent="0.2">
      <c r="M189" s="84"/>
    </row>
    <row r="190" spans="13:13" ht="13.9" customHeight="1" x14ac:dyDescent="0.2">
      <c r="M190" s="84"/>
    </row>
    <row r="191" spans="13:13" ht="13.9" customHeight="1" x14ac:dyDescent="0.2">
      <c r="M191" s="84"/>
    </row>
    <row r="192" spans="13:13" ht="13.9" customHeight="1" x14ac:dyDescent="0.2">
      <c r="M192" s="84"/>
    </row>
    <row r="193" spans="13:13" ht="13.9" customHeight="1" x14ac:dyDescent="0.2">
      <c r="M193" s="84"/>
    </row>
    <row r="194" spans="13:13" ht="13.9" customHeight="1" x14ac:dyDescent="0.2">
      <c r="M194" s="84"/>
    </row>
    <row r="195" spans="13:13" ht="13.9" customHeight="1" x14ac:dyDescent="0.2">
      <c r="M195" s="84"/>
    </row>
    <row r="196" spans="13:13" ht="13.9" customHeight="1" x14ac:dyDescent="0.2">
      <c r="M196" s="84"/>
    </row>
    <row r="197" spans="13:13" ht="13.9" customHeight="1" x14ac:dyDescent="0.2">
      <c r="M197" s="84"/>
    </row>
    <row r="198" spans="13:13" ht="13.9" customHeight="1" x14ac:dyDescent="0.2">
      <c r="M198" s="84"/>
    </row>
    <row r="199" spans="13:13" ht="13.9" customHeight="1" x14ac:dyDescent="0.2">
      <c r="M199" s="84"/>
    </row>
    <row r="200" spans="13:13" ht="13.9" customHeight="1" x14ac:dyDescent="0.2">
      <c r="M200" s="84"/>
    </row>
    <row r="201" spans="13:13" ht="13.9" customHeight="1" x14ac:dyDescent="0.2">
      <c r="M201" s="84"/>
    </row>
    <row r="202" spans="13:13" ht="13.9" customHeight="1" x14ac:dyDescent="0.2">
      <c r="M202" s="84"/>
    </row>
    <row r="203" spans="13:13" ht="13.9" customHeight="1" x14ac:dyDescent="0.2">
      <c r="M203" s="84"/>
    </row>
    <row r="204" spans="13:13" ht="13.9" customHeight="1" x14ac:dyDescent="0.2">
      <c r="M204" s="84"/>
    </row>
    <row r="205" spans="13:13" ht="13.9" customHeight="1" x14ac:dyDescent="0.2">
      <c r="M205" s="84"/>
    </row>
    <row r="206" spans="13:13" ht="13.9" customHeight="1" x14ac:dyDescent="0.2">
      <c r="M206" s="84"/>
    </row>
    <row r="207" spans="13:13" ht="13.9" customHeight="1" x14ac:dyDescent="0.2">
      <c r="M207" s="84"/>
    </row>
    <row r="208" spans="13:13" ht="13.9" customHeight="1" x14ac:dyDescent="0.2">
      <c r="M208" s="84"/>
    </row>
    <row r="209" spans="13:13" ht="13.9" customHeight="1" x14ac:dyDescent="0.2">
      <c r="M209" s="84"/>
    </row>
    <row r="210" spans="13:13" ht="13.9" customHeight="1" x14ac:dyDescent="0.2">
      <c r="M210" s="84"/>
    </row>
  </sheetData>
  <mergeCells count="12">
    <mergeCell ref="R73:AB76"/>
    <mergeCell ref="B130:I131"/>
    <mergeCell ref="K3:K6"/>
    <mergeCell ref="M3:M6"/>
    <mergeCell ref="P3:P6"/>
    <mergeCell ref="N3:O6"/>
    <mergeCell ref="J11:O12"/>
    <mergeCell ref="N58:O65"/>
    <mergeCell ref="L3:L6"/>
    <mergeCell ref="B52:M54"/>
    <mergeCell ref="B3:F5"/>
    <mergeCell ref="B43:M44"/>
  </mergeCells>
  <phoneticPr fontId="3" type="noConversion"/>
  <printOptions gridLines="1"/>
  <pageMargins left="0.6" right="0.6" top="0.4" bottom="0.4" header="0.5" footer="0.5"/>
  <pageSetup scale="9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191"/>
  <sheetViews>
    <sheetView topLeftCell="AF88" workbookViewId="0"/>
  </sheetViews>
  <sheetFormatPr defaultRowHeight="13.9" customHeight="1" x14ac:dyDescent="0.2"/>
  <cols>
    <col min="1" max="1" width="2.5703125" customWidth="1"/>
    <col min="9" max="9" width="9" customWidth="1"/>
    <col min="11" max="12" width="9.28515625" customWidth="1"/>
    <col min="13" max="13" width="9.28515625" style="30" customWidth="1"/>
    <col min="14" max="15" width="9.28515625" style="84" customWidth="1"/>
    <col min="16" max="16" width="9.28515625" customWidth="1"/>
    <col min="18" max="18" width="10" customWidth="1"/>
    <col min="21" max="21" width="9.5703125" bestFit="1" customWidth="1"/>
    <col min="22" max="38" width="9.42578125" customWidth="1"/>
    <col min="41" max="41" width="2.42578125" customWidth="1"/>
  </cols>
  <sheetData>
    <row r="1" spans="2:41" ht="13.9" customHeight="1" x14ac:dyDescent="0.25">
      <c r="B1" s="70" t="s">
        <v>297</v>
      </c>
      <c r="M1" s="345">
        <f>Summary!J1</f>
        <v>40823</v>
      </c>
      <c r="AO1" s="8">
        <f>ROW()</f>
        <v>1</v>
      </c>
    </row>
    <row r="2" spans="2:41" ht="13.9" customHeight="1" x14ac:dyDescent="0.2">
      <c r="M2" s="84"/>
      <c r="AO2" s="8">
        <f>ROW()</f>
        <v>2</v>
      </c>
    </row>
    <row r="3" spans="2:41" ht="13.9" customHeight="1" x14ac:dyDescent="0.2">
      <c r="B3" s="390" t="s">
        <v>325</v>
      </c>
      <c r="C3" s="449"/>
      <c r="D3" s="449"/>
      <c r="E3" s="449"/>
      <c r="F3" s="449"/>
      <c r="I3" s="84"/>
      <c r="J3" s="84"/>
      <c r="K3" s="426" t="s">
        <v>137</v>
      </c>
      <c r="L3" s="424" t="s">
        <v>360</v>
      </c>
      <c r="M3" s="424" t="s">
        <v>360</v>
      </c>
      <c r="N3" s="397" t="s">
        <v>282</v>
      </c>
      <c r="O3" s="398"/>
      <c r="P3" s="393" t="s">
        <v>138</v>
      </c>
      <c r="AO3" s="8">
        <f>ROW()</f>
        <v>3</v>
      </c>
    </row>
    <row r="4" spans="2:41" ht="13.9" customHeight="1" x14ac:dyDescent="0.2">
      <c r="B4" s="449"/>
      <c r="C4" s="449"/>
      <c r="D4" s="449"/>
      <c r="E4" s="449"/>
      <c r="F4" s="449"/>
      <c r="K4" s="427"/>
      <c r="L4" s="425"/>
      <c r="M4" s="425"/>
      <c r="N4" s="399"/>
      <c r="O4" s="398"/>
      <c r="P4" s="394"/>
      <c r="AO4" s="8">
        <f>ROW()</f>
        <v>4</v>
      </c>
    </row>
    <row r="5" spans="2:41" ht="13.9" customHeight="1" x14ac:dyDescent="0.2">
      <c r="B5" s="449"/>
      <c r="C5" s="449"/>
      <c r="D5" s="449"/>
      <c r="E5" s="449"/>
      <c r="F5" s="449"/>
      <c r="I5" s="129"/>
      <c r="J5" s="129"/>
      <c r="K5" s="427"/>
      <c r="L5" s="425"/>
      <c r="M5" s="425"/>
      <c r="N5" s="399"/>
      <c r="O5" s="398"/>
      <c r="P5" s="394"/>
      <c r="AO5" s="8">
        <f>ROW()</f>
        <v>5</v>
      </c>
    </row>
    <row r="6" spans="2:41" ht="13.9" customHeight="1" x14ac:dyDescent="0.2">
      <c r="B6" s="1"/>
      <c r="I6" s="3"/>
      <c r="J6" s="3"/>
      <c r="K6" s="428"/>
      <c r="L6" s="425"/>
      <c r="M6" s="425"/>
      <c r="N6" s="399"/>
      <c r="O6" s="398"/>
      <c r="P6" s="395"/>
      <c r="AO6" s="8">
        <f>ROW()</f>
        <v>6</v>
      </c>
    </row>
    <row r="7" spans="2:41" ht="13.9" customHeight="1" x14ac:dyDescent="0.2">
      <c r="B7" s="14" t="s">
        <v>609</v>
      </c>
      <c r="I7" s="165"/>
      <c r="J7" s="131"/>
      <c r="K7" s="170">
        <v>2007</v>
      </c>
      <c r="L7" s="242">
        <v>2008</v>
      </c>
      <c r="M7" s="242">
        <v>2009</v>
      </c>
      <c r="N7" s="242">
        <v>2010</v>
      </c>
      <c r="O7" s="170">
        <v>2011</v>
      </c>
      <c r="P7" s="130">
        <f>Summary!P115</f>
        <v>2012</v>
      </c>
      <c r="Q7" s="13">
        <f t="shared" ref="Q7:AL7" si="0">P7+1</f>
        <v>2013</v>
      </c>
      <c r="R7" s="13">
        <f t="shared" si="0"/>
        <v>2014</v>
      </c>
      <c r="S7" s="13">
        <f t="shared" si="0"/>
        <v>2015</v>
      </c>
      <c r="T7" s="13">
        <f t="shared" si="0"/>
        <v>2016</v>
      </c>
      <c r="U7" s="13">
        <f t="shared" si="0"/>
        <v>2017</v>
      </c>
      <c r="V7" s="13">
        <f t="shared" si="0"/>
        <v>2018</v>
      </c>
      <c r="W7" s="13">
        <f t="shared" si="0"/>
        <v>2019</v>
      </c>
      <c r="X7" s="13">
        <f t="shared" si="0"/>
        <v>2020</v>
      </c>
      <c r="Y7" s="13">
        <f t="shared" si="0"/>
        <v>2021</v>
      </c>
      <c r="Z7" s="13">
        <f t="shared" si="0"/>
        <v>2022</v>
      </c>
      <c r="AA7" s="13">
        <f t="shared" si="0"/>
        <v>2023</v>
      </c>
      <c r="AB7" s="13">
        <f t="shared" si="0"/>
        <v>2024</v>
      </c>
      <c r="AC7" s="13">
        <f t="shared" si="0"/>
        <v>2025</v>
      </c>
      <c r="AD7" s="13">
        <f t="shared" si="0"/>
        <v>2026</v>
      </c>
      <c r="AE7" s="13">
        <f t="shared" si="0"/>
        <v>2027</v>
      </c>
      <c r="AF7" s="13">
        <f t="shared" si="0"/>
        <v>2028</v>
      </c>
      <c r="AG7" s="13">
        <f t="shared" si="0"/>
        <v>2029</v>
      </c>
      <c r="AH7" s="13">
        <f t="shared" si="0"/>
        <v>2030</v>
      </c>
      <c r="AI7" s="13">
        <f t="shared" si="0"/>
        <v>2031</v>
      </c>
      <c r="AJ7" s="13">
        <f t="shared" si="0"/>
        <v>2032</v>
      </c>
      <c r="AK7" s="13">
        <f t="shared" si="0"/>
        <v>2033</v>
      </c>
      <c r="AL7" s="13">
        <f t="shared" si="0"/>
        <v>2034</v>
      </c>
      <c r="AO7" s="8">
        <f>ROW()</f>
        <v>7</v>
      </c>
    </row>
    <row r="8" spans="2:41" ht="13.9" customHeight="1" x14ac:dyDescent="0.2">
      <c r="I8" s="63"/>
      <c r="J8" s="63"/>
      <c r="K8" s="13"/>
      <c r="L8" s="241"/>
      <c r="M8" s="241"/>
      <c r="N8" s="241"/>
      <c r="O8" s="203"/>
      <c r="P8" s="62"/>
      <c r="Q8" s="13"/>
      <c r="R8" s="13"/>
      <c r="S8" s="13"/>
      <c r="T8" s="13"/>
      <c r="U8" s="13"/>
      <c r="V8" s="13"/>
      <c r="W8" s="13"/>
      <c r="X8" s="13"/>
      <c r="Y8" s="13"/>
      <c r="Z8" s="13"/>
      <c r="AA8" s="13"/>
      <c r="AB8" s="13"/>
      <c r="AC8" s="13"/>
      <c r="AD8" s="13"/>
      <c r="AE8" s="13"/>
      <c r="AF8" s="13"/>
      <c r="AG8" s="13"/>
      <c r="AH8" s="13"/>
      <c r="AI8" s="13"/>
      <c r="AJ8" s="13"/>
      <c r="AK8" s="13"/>
      <c r="AL8" s="13"/>
      <c r="AO8" s="8">
        <f>ROW()</f>
        <v>8</v>
      </c>
    </row>
    <row r="9" spans="2:41" ht="13.9" customHeight="1" x14ac:dyDescent="0.2">
      <c r="B9" s="64" t="s">
        <v>8</v>
      </c>
      <c r="H9" s="63"/>
      <c r="I9" s="63"/>
      <c r="J9" s="63"/>
      <c r="K9" s="13"/>
      <c r="L9" s="13"/>
      <c r="M9" s="203"/>
      <c r="N9" s="203"/>
      <c r="O9" s="203"/>
      <c r="P9" s="62"/>
      <c r="Q9" s="13"/>
      <c r="R9" s="13"/>
      <c r="S9" s="13"/>
      <c r="T9" s="13"/>
      <c r="U9" s="13"/>
      <c r="AO9" s="8">
        <f>ROW()</f>
        <v>9</v>
      </c>
    </row>
    <row r="10" spans="2:41" ht="13.9" customHeight="1" x14ac:dyDescent="0.2">
      <c r="B10" s="71" t="s">
        <v>301</v>
      </c>
      <c r="M10" s="84"/>
      <c r="AO10" s="8">
        <f>ROW()</f>
        <v>10</v>
      </c>
    </row>
    <row r="11" spans="2:41" ht="13.9" customHeight="1" x14ac:dyDescent="0.2">
      <c r="B11" s="234" t="s">
        <v>439</v>
      </c>
      <c r="I11" s="274">
        <f>Summary!$J$76</f>
        <v>10</v>
      </c>
      <c r="J11" s="471" t="str">
        <f>CONCATENATE("Do not type in two boxes at left. Quantities in those boxes are inputted automatically from Cells I",Summary!$AN$76,", I",Summary!$AN$78,", I",Summary!$AN$80,", and I",Summary!$AN$85," in 'Summary' worksheet. ",)</f>
        <v xml:space="preserve">Do not type in two boxes at left. Quantities in those boxes are inputted automatically from Cells I76, I78, I80, and I85 in 'Summary' worksheet. </v>
      </c>
      <c r="K11" s="472"/>
      <c r="L11" s="472"/>
      <c r="M11" s="472"/>
      <c r="N11" s="472"/>
      <c r="O11" s="473"/>
      <c r="AO11" s="8">
        <f>ROW()</f>
        <v>11</v>
      </c>
    </row>
    <row r="12" spans="2:41" ht="13.9" customHeight="1" x14ac:dyDescent="0.2">
      <c r="B12" s="234" t="s">
        <v>438</v>
      </c>
      <c r="I12" s="274">
        <f>IF(Summary!J78=1,MAX(Summary!J80, 0.0001),Summary!J85)</f>
        <v>0.1</v>
      </c>
      <c r="J12" s="474"/>
      <c r="K12" s="475"/>
      <c r="L12" s="475"/>
      <c r="M12" s="475"/>
      <c r="N12" s="475"/>
      <c r="O12" s="476"/>
      <c r="AO12" s="8">
        <f>ROW()</f>
        <v>12</v>
      </c>
    </row>
    <row r="13" spans="2:41" ht="13.9" customHeight="1" x14ac:dyDescent="0.2">
      <c r="B13" s="110" t="str">
        <f>CONCATENATE("Note: Cell H",AO12, " is formulated as greater of (i) value entered in Summary, and (ii) 0.0001, to allow carbon tax rate to be set to zero; otherwise, zero would appear in denominator of some cells.")</f>
        <v>Note: Cell H12 is formulated as greater of (i) value entered in Summary, and (ii) 0.0001, to allow carbon tax rate to be set to zero; otherwise, zero would appear in denominator of some cells.</v>
      </c>
      <c r="I13" s="275"/>
      <c r="J13" s="262"/>
      <c r="K13" s="262"/>
      <c r="L13" s="262"/>
      <c r="M13" s="262"/>
      <c r="N13" s="262"/>
      <c r="O13" s="262"/>
      <c r="AO13" s="8">
        <f>ROW()</f>
        <v>13</v>
      </c>
    </row>
    <row r="14" spans="2:41" ht="13.9" customHeight="1" x14ac:dyDescent="0.2">
      <c r="H14" s="61"/>
      <c r="I14" s="61"/>
      <c r="J14" s="61"/>
      <c r="M14" s="84"/>
      <c r="AO14" s="8">
        <f>ROW()</f>
        <v>14</v>
      </c>
    </row>
    <row r="15" spans="2:41" ht="13.9" customHeight="1" x14ac:dyDescent="0.2">
      <c r="B15" s="42" t="str">
        <f>CONCATENATE("Is year at top of column equal to or greater than tax-start year (which was inputted in Summary tab, Cell H",Summary!$AN$98, ")?")</f>
        <v>Is year at top of column equal to or greater than tax-start year (which was inputted in Summary tab, Cell H98)?</v>
      </c>
      <c r="H15" s="2"/>
      <c r="I15" s="2"/>
      <c r="J15" s="2"/>
      <c r="M15" s="57" t="str">
        <f>IF(M$7&gt;=Summary!$J98,"YES","NO")</f>
        <v>NO</v>
      </c>
      <c r="N15" s="57" t="str">
        <f>IF(N$7&gt;=Summary!$J98,"YES","NO")</f>
        <v>NO</v>
      </c>
      <c r="O15" s="57" t="str">
        <f>IF(O$7&gt;=Summary!$J98,"YES","NO")</f>
        <v>NO</v>
      </c>
      <c r="P15" s="57" t="str">
        <f>IF(P$7&gt;=Summary!$J98,"YES","NO")</f>
        <v>YES</v>
      </c>
      <c r="Q15" s="57" t="str">
        <f>IF(Q$7&gt;=Summary!$J98,"YES","NO")</f>
        <v>YES</v>
      </c>
      <c r="R15" s="57" t="str">
        <f>IF(R$7&gt;=Summary!$J98,"YES","NO")</f>
        <v>YES</v>
      </c>
      <c r="S15" s="57" t="str">
        <f>IF(S$7&gt;=Summary!$J98,"YES","NO")</f>
        <v>YES</v>
      </c>
      <c r="T15" s="57" t="str">
        <f>IF(T$7&gt;=Summary!$J98,"YES","NO")</f>
        <v>YES</v>
      </c>
      <c r="U15" s="57" t="str">
        <f>IF(U$7&gt;=Summary!$J98,"YES","NO")</f>
        <v>YES</v>
      </c>
      <c r="V15" s="57" t="str">
        <f>IF(V$7&gt;=Summary!$J98,"YES","NO")</f>
        <v>YES</v>
      </c>
      <c r="W15" s="57" t="str">
        <f>IF(W$7&gt;=Summary!$J98,"YES","NO")</f>
        <v>YES</v>
      </c>
      <c r="X15" s="57" t="str">
        <f>IF(X$7&gt;=Summary!$J98,"YES","NO")</f>
        <v>YES</v>
      </c>
      <c r="Y15" s="57" t="str">
        <f>IF(Y$7&gt;=Summary!$J98,"YES","NO")</f>
        <v>YES</v>
      </c>
      <c r="Z15" s="57" t="str">
        <f>IF(Z$7&gt;=Summary!$J98,"YES","NO")</f>
        <v>YES</v>
      </c>
      <c r="AA15" s="57" t="str">
        <f>IF(AA$7&gt;=Summary!$J98,"YES","NO")</f>
        <v>YES</v>
      </c>
      <c r="AB15" s="57" t="str">
        <f>IF(AB$7&gt;=Summary!$J98,"YES","NO")</f>
        <v>YES</v>
      </c>
      <c r="AC15" s="57" t="str">
        <f>IF(AC$7&gt;=Summary!$J98,"YES","NO")</f>
        <v>YES</v>
      </c>
      <c r="AD15" s="57" t="str">
        <f>IF(AD$7&gt;=Summary!$J98,"YES","NO")</f>
        <v>YES</v>
      </c>
      <c r="AE15" s="57" t="str">
        <f>IF(AE$7&gt;=Summary!$J98,"YES","NO")</f>
        <v>YES</v>
      </c>
      <c r="AF15" s="57" t="str">
        <f>IF(AF$7&gt;=Summary!$J98,"YES","NO")</f>
        <v>YES</v>
      </c>
      <c r="AG15" s="57" t="str">
        <f>IF(AG$7&gt;=Summary!$J98,"YES","NO")</f>
        <v>YES</v>
      </c>
      <c r="AH15" s="57" t="str">
        <f>IF(AH$7&gt;=Summary!$J98,"YES","NO")</f>
        <v>YES</v>
      </c>
      <c r="AI15" s="57" t="str">
        <f>IF(AI$7&gt;=Summary!$J98,"YES","NO")</f>
        <v>YES</v>
      </c>
      <c r="AJ15" s="57" t="str">
        <f>IF(AJ$7&gt;=Summary!$J98,"YES","NO")</f>
        <v>YES</v>
      </c>
      <c r="AK15" s="57" t="str">
        <f>IF(AK$7&gt;=Summary!$J98,"YES","NO")</f>
        <v>YES</v>
      </c>
      <c r="AL15" s="57" t="str">
        <f>IF(AL$7&gt;=Summary!$J98,"YES","NO")</f>
        <v>YES</v>
      </c>
      <c r="AO15" s="8">
        <f>ROW()</f>
        <v>15</v>
      </c>
    </row>
    <row r="16" spans="2:41" ht="13.9" customHeight="1" x14ac:dyDescent="0.2">
      <c r="B16" s="42" t="str">
        <f>CONCATENATE("Is year at top of column equal to or greater than final tax year (which was inputted in Summary tab, Cell H",Summary!$AN$110, ")?")</f>
        <v>Is year at top of column equal to or greater than final tax year (which was inputted in Summary tab, Cell H110)?</v>
      </c>
      <c r="H16" s="2"/>
      <c r="I16" s="2"/>
      <c r="J16" s="2"/>
      <c r="M16" s="57" t="str">
        <f>IF(M$7&gt;Summary!$J99,"YES","NO")</f>
        <v>NO</v>
      </c>
      <c r="N16" s="57" t="str">
        <f>IF(N$7&gt;Summary!$J99,"YES","NO")</f>
        <v>NO</v>
      </c>
      <c r="O16" s="57" t="str">
        <f>IF(O$7&gt;Summary!$J99,"YES","NO")</f>
        <v>NO</v>
      </c>
      <c r="P16" s="57" t="str">
        <f>IF(P$7&gt;Summary!$J99,"YES","NO")</f>
        <v>NO</v>
      </c>
      <c r="Q16" s="57" t="str">
        <f>IF(Q$7&gt;Summary!$J99,"YES","NO")</f>
        <v>NO</v>
      </c>
      <c r="R16" s="57" t="str">
        <f>IF(R$7&gt;Summary!$J99,"YES","NO")</f>
        <v>NO</v>
      </c>
      <c r="S16" s="57" t="str">
        <f>IF(S$7&gt;Summary!$J99,"YES","NO")</f>
        <v>NO</v>
      </c>
      <c r="T16" s="57" t="str">
        <f>IF(T$7&gt;Summary!$J99,"YES","NO")</f>
        <v>NO</v>
      </c>
      <c r="U16" s="57" t="str">
        <f>IF(U$7&gt;Summary!$J99,"YES","NO")</f>
        <v>NO</v>
      </c>
      <c r="V16" s="57" t="str">
        <f>IF(V$7&gt;Summary!$J99,"YES","NO")</f>
        <v>NO</v>
      </c>
      <c r="W16" s="57" t="str">
        <f>IF(W$7&gt;Summary!$J99,"YES","NO")</f>
        <v>NO</v>
      </c>
      <c r="X16" s="57" t="str">
        <f>IF(X$7&gt;Summary!$J99,"YES","NO")</f>
        <v>NO</v>
      </c>
      <c r="Y16" s="57" t="str">
        <f>IF(Y$7&gt;Summary!$J99,"YES","NO")</f>
        <v>NO</v>
      </c>
      <c r="Z16" s="57" t="str">
        <f>IF(Z$7&gt;Summary!$J99,"YES","NO")</f>
        <v>NO</v>
      </c>
      <c r="AA16" s="57" t="str">
        <f>IF(AA$7&gt;Summary!$J99,"YES","NO")</f>
        <v>NO</v>
      </c>
      <c r="AB16" s="57" t="str">
        <f>IF(AB$7&gt;Summary!$J99,"YES","NO")</f>
        <v>NO</v>
      </c>
      <c r="AC16" s="57" t="str">
        <f>IF(AC$7&gt;Summary!$J99,"YES","NO")</f>
        <v>NO</v>
      </c>
      <c r="AD16" s="57" t="str">
        <f>IF(AD$7&gt;Summary!$J99,"YES","NO")</f>
        <v>NO</v>
      </c>
      <c r="AE16" s="57" t="str">
        <f>IF(AE$7&gt;Summary!$J99,"YES","NO")</f>
        <v>YES</v>
      </c>
      <c r="AF16" s="57" t="str">
        <f>IF(AF$7&gt;Summary!$J99,"YES","NO")</f>
        <v>YES</v>
      </c>
      <c r="AG16" s="57" t="str">
        <f>IF(AG$7&gt;Summary!$J99,"YES","NO")</f>
        <v>YES</v>
      </c>
      <c r="AH16" s="57" t="str">
        <f>IF(AH$7&gt;Summary!$J99,"YES","NO")</f>
        <v>YES</v>
      </c>
      <c r="AI16" s="57" t="str">
        <f>IF(AI$7&gt;Summary!$J99,"YES","NO")</f>
        <v>YES</v>
      </c>
      <c r="AJ16" s="57" t="str">
        <f>IF(AJ$7&gt;Summary!$J99,"YES","NO")</f>
        <v>YES</v>
      </c>
      <c r="AK16" s="57" t="str">
        <f>IF(AK$7&gt;Summary!$J99,"YES","NO")</f>
        <v>YES</v>
      </c>
      <c r="AL16" s="57" t="str">
        <f>IF(AL$7&gt;Summary!$J99,"YES","NO")</f>
        <v>YES</v>
      </c>
      <c r="AO16" s="8">
        <f>ROW()</f>
        <v>16</v>
      </c>
    </row>
    <row r="17" spans="1:41" ht="13.9" customHeight="1" x14ac:dyDescent="0.2">
      <c r="B17" s="42" t="s">
        <v>441</v>
      </c>
      <c r="M17">
        <f t="shared" ref="M17:AL17" si="1">IF(M15="NO",0,(IF(AND(M15="YES",M16="NO"),L17+1,L17)))</f>
        <v>0</v>
      </c>
      <c r="N17">
        <f t="shared" si="1"/>
        <v>0</v>
      </c>
      <c r="O17">
        <f t="shared" si="1"/>
        <v>0</v>
      </c>
      <c r="P17">
        <f t="shared" si="1"/>
        <v>1</v>
      </c>
      <c r="Q17">
        <f t="shared" si="1"/>
        <v>2</v>
      </c>
      <c r="R17">
        <f t="shared" si="1"/>
        <v>3</v>
      </c>
      <c r="S17">
        <f t="shared" si="1"/>
        <v>4</v>
      </c>
      <c r="T17">
        <f t="shared" si="1"/>
        <v>5</v>
      </c>
      <c r="U17">
        <f t="shared" si="1"/>
        <v>6</v>
      </c>
      <c r="V17">
        <f t="shared" si="1"/>
        <v>7</v>
      </c>
      <c r="W17">
        <f t="shared" si="1"/>
        <v>8</v>
      </c>
      <c r="X17">
        <f t="shared" si="1"/>
        <v>9</v>
      </c>
      <c r="Y17">
        <f t="shared" si="1"/>
        <v>10</v>
      </c>
      <c r="Z17">
        <f t="shared" si="1"/>
        <v>11</v>
      </c>
      <c r="AA17">
        <f t="shared" si="1"/>
        <v>12</v>
      </c>
      <c r="AB17">
        <f t="shared" si="1"/>
        <v>13</v>
      </c>
      <c r="AC17">
        <f t="shared" si="1"/>
        <v>14</v>
      </c>
      <c r="AD17">
        <f t="shared" si="1"/>
        <v>15</v>
      </c>
      <c r="AE17">
        <f t="shared" si="1"/>
        <v>15</v>
      </c>
      <c r="AF17">
        <f t="shared" si="1"/>
        <v>15</v>
      </c>
      <c r="AG17">
        <f t="shared" si="1"/>
        <v>15</v>
      </c>
      <c r="AH17">
        <f t="shared" si="1"/>
        <v>15</v>
      </c>
      <c r="AI17">
        <f t="shared" si="1"/>
        <v>15</v>
      </c>
      <c r="AJ17">
        <f t="shared" si="1"/>
        <v>15</v>
      </c>
      <c r="AK17">
        <f t="shared" si="1"/>
        <v>15</v>
      </c>
      <c r="AL17">
        <f t="shared" si="1"/>
        <v>15</v>
      </c>
      <c r="AO17" s="8">
        <f>ROW()</f>
        <v>17</v>
      </c>
    </row>
    <row r="18" spans="1:41" s="74" customFormat="1" ht="13.9" customHeight="1" x14ac:dyDescent="0.2">
      <c r="A18"/>
      <c r="B18" t="s">
        <v>36</v>
      </c>
      <c r="C18"/>
      <c r="D18"/>
      <c r="E18"/>
      <c r="F18"/>
      <c r="G18"/>
      <c r="H18" s="2"/>
      <c r="I18" s="2"/>
      <c r="J18" s="2"/>
      <c r="K18"/>
      <c r="L18"/>
      <c r="M18" s="91">
        <f>IF(Summary!$J78=1,MAX(0,$I$11*MIN(1,M17)+$I$12*(M17-1)),IF(M17=0,0,($I$11*(1+$I$12)^(M17-1))))</f>
        <v>0</v>
      </c>
      <c r="N18" s="91">
        <f>IF(Summary!$J78=1,MAX(0,$I$11*MIN(1,N17)+$I$12*(N17-1)),IF(N17=0,0,($I$11*(1+$I$12)^(N17-1))))</f>
        <v>0</v>
      </c>
      <c r="O18" s="91">
        <f>IF(Summary!$J78=1,MAX(0,$I$11*MIN(1,O17)+$I$12*(O17-1)),IF(O17=0,0,($I$11*(1+$I$12)^(O17-1))))</f>
        <v>0</v>
      </c>
      <c r="P18" s="91">
        <f>IF(Summary!$J78=1,MAX(0,$I$11*MIN(1,P17)+$I$12*(P17-1)),IF(P17=0,0,($I$11*(1+$I$12)^(P17-1))))</f>
        <v>10</v>
      </c>
      <c r="Q18" s="91">
        <f>IF(Summary!$J78=1,MAX(0,$I$11*MIN(1,Q17)+$I$12*(Q17-1)),IF(Q17=0,0,($I$11*(1+$I$12)^(Q17-1))))</f>
        <v>11</v>
      </c>
      <c r="R18" s="91">
        <f>IF(Summary!$J78=1,MAX(0,$I$11*MIN(1,R17)+$I$12*(R17-1)),IF(R17=0,0,($I$11*(1+$I$12)^(R17-1))))</f>
        <v>12.100000000000001</v>
      </c>
      <c r="S18" s="91">
        <f>IF(Summary!$J78=1,MAX(0,$I$11*MIN(1,S17)+$I$12*(S17-1)),IF(S17=0,0,($I$11*(1+$I$12)^(S17-1))))</f>
        <v>13.310000000000004</v>
      </c>
      <c r="T18" s="91">
        <f>IF(Summary!$J78=1,MAX(0,$I$11*MIN(1,T17)+$I$12*(T17-1)),IF(T17=0,0,($I$11*(1+$I$12)^(T17-1))))</f>
        <v>14.641000000000004</v>
      </c>
      <c r="U18" s="91">
        <f>IF(Summary!$J78=1,MAX(0,$I$11*MIN(1,U17)+$I$12*(U17-1)),IF(U17=0,0,($I$11*(1+$I$12)^(U17-1))))</f>
        <v>16.105100000000007</v>
      </c>
      <c r="V18" s="91">
        <f>IF(Summary!$J78=1,MAX(0,$I$11*MIN(1,V17)+$I$12*(V17-1)),IF(V17=0,0,($I$11*(1+$I$12)^(V17-1))))</f>
        <v>17.715610000000009</v>
      </c>
      <c r="W18" s="91">
        <f>IF(Summary!$J78=1,MAX(0,$I$11*MIN(1,W17)+$I$12*(W17-1)),IF(W17=0,0,($I$11*(1+$I$12)^(W17-1))))</f>
        <v>19.487171000000011</v>
      </c>
      <c r="X18" s="91">
        <f>IF(Summary!$J78=1,MAX(0,$I$11*MIN(1,X17)+$I$12*(X17-1)),IF(X17=0,0,($I$11*(1+$I$12)^(X17-1))))</f>
        <v>21.43588810000001</v>
      </c>
      <c r="Y18" s="91">
        <f>IF(Summary!$J78=1,MAX(0,$I$11*MIN(1,Y17)+$I$12*(Y17-1)),IF(Y17=0,0,($I$11*(1+$I$12)^(Y17-1))))</f>
        <v>23.579476910000015</v>
      </c>
      <c r="Z18" s="91">
        <f>IF(Summary!$J78=1,MAX(0,$I$11*MIN(1,Z17)+$I$12*(Z17-1)),IF(Z17=0,0,($I$11*(1+$I$12)^(Z17-1))))</f>
        <v>25.937424601000018</v>
      </c>
      <c r="AA18" s="91">
        <f>IF(Summary!$J78=1,MAX(0,$I$11*MIN(1,AA17)+$I$12*(AA17-1)),IF(AA17=0,0,($I$11*(1+$I$12)^(AA17-1))))</f>
        <v>28.531167061100025</v>
      </c>
      <c r="AB18" s="91">
        <f>IF(Summary!$J78=1,MAX(0,$I$11*MIN(1,AB17)+$I$12*(AB17-1)),IF(AB17=0,0,($I$11*(1+$I$12)^(AB17-1))))</f>
        <v>31.384283767210025</v>
      </c>
      <c r="AC18" s="91">
        <f>IF(Summary!$J78=1,MAX(0,$I$11*MIN(1,AC17)+$I$12*(AC17-1)),IF(AC17=0,0,($I$11*(1+$I$12)^(AC17-1))))</f>
        <v>34.522712143931031</v>
      </c>
      <c r="AD18" s="91">
        <f>IF(Summary!$J78=1,MAX(0,$I$11*MIN(1,AD17)+$I$12*(AD17-1)),IF(AD17=0,0,($I$11*(1+$I$12)^(AD17-1))))</f>
        <v>37.974983358324138</v>
      </c>
      <c r="AE18" s="91">
        <f>IF(Summary!$J78=1,MAX(0,$I$11*MIN(1,AE17)+$I$12*(AE17-1)),IF(AE17=0,0,($I$11*(1+$I$12)^(AE17-1))))</f>
        <v>37.974983358324138</v>
      </c>
      <c r="AF18" s="91">
        <f>IF(Summary!$J78=1,MAX(0,$I$11*MIN(1,AF17)+$I$12*(AF17-1)),IF(AF17=0,0,($I$11*(1+$I$12)^(AF17-1))))</f>
        <v>37.974983358324138</v>
      </c>
      <c r="AG18" s="91">
        <f>IF(Summary!$J78=1,MAX(0,$I$11*MIN(1,AG17)+$I$12*(AG17-1)),IF(AG17=0,0,($I$11*(1+$I$12)^(AG17-1))))</f>
        <v>37.974983358324138</v>
      </c>
      <c r="AH18" s="91">
        <f>IF(Summary!$J78=1,MAX(0,$I$11*MIN(1,AH17)+$I$12*(AH17-1)),IF(AH17=0,0,($I$11*(1+$I$12)^(AH17-1))))</f>
        <v>37.974983358324138</v>
      </c>
      <c r="AI18" s="91">
        <f>IF(Summary!$J78=1,MAX(0,$I$11*MIN(1,AI17)+$I$12*(AI17-1)),IF(AI17=0,0,($I$11*(1+$I$12)^(AI17-1))))</f>
        <v>37.974983358324138</v>
      </c>
      <c r="AJ18" s="91">
        <f>IF(Summary!$J78=1,MAX(0,$I$11*MIN(1,AJ17)+$I$12*(AJ17-1)),IF(AJ17=0,0,($I$11*(1+$I$12)^(AJ17-1))))</f>
        <v>37.974983358324138</v>
      </c>
      <c r="AK18" s="91">
        <f>IF(Summary!$J78=1,MAX(0,$I$11*MIN(1,AK17)+$I$12*(AK17-1)),IF(AK17=0,0,($I$11*(1+$I$12)^(AK17-1))))</f>
        <v>37.974983358324138</v>
      </c>
      <c r="AL18" s="91">
        <f>IF(Summary!$J78=1,MAX(0,$I$11*MIN(1,AL17)+$I$12*(AL17-1)),IF(AL17=0,0,($I$11*(1+$I$12)^(AL17-1))))</f>
        <v>37.974983358324138</v>
      </c>
      <c r="AM18" s="207"/>
      <c r="AO18" s="8">
        <f>ROW()</f>
        <v>18</v>
      </c>
    </row>
    <row r="19" spans="1:41" ht="13.9" customHeight="1" x14ac:dyDescent="0.2">
      <c r="A19" s="74"/>
      <c r="B19" s="74" t="s">
        <v>183</v>
      </c>
      <c r="C19" s="74"/>
      <c r="D19" s="74"/>
      <c r="E19" s="74"/>
      <c r="F19" s="74"/>
      <c r="G19" s="74"/>
      <c r="H19" s="75"/>
      <c r="I19" s="75"/>
      <c r="J19" s="75"/>
      <c r="K19" s="74"/>
      <c r="L19" s="74"/>
      <c r="M19" s="76">
        <f>M18*Parameters!$J$15/2000</f>
        <v>0</v>
      </c>
      <c r="N19" s="76">
        <f>N18*Parameters!$J$15/2000</f>
        <v>0</v>
      </c>
      <c r="O19" s="76">
        <f>O18*Parameters!$J$15/2000</f>
        <v>0</v>
      </c>
      <c r="P19" s="76">
        <f>P18*Parameters!$J$15/2000</f>
        <v>11.025</v>
      </c>
      <c r="Q19" s="76">
        <f>Q18*Parameters!$J$15/2000</f>
        <v>12.1275</v>
      </c>
      <c r="R19" s="76">
        <f>R18*Parameters!$J$15/2000</f>
        <v>13.340250000000001</v>
      </c>
      <c r="S19" s="76">
        <f>S18*Parameters!$J$15/2000</f>
        <v>14.674275000000005</v>
      </c>
      <c r="T19" s="76">
        <f>T18*Parameters!$J$15/2000</f>
        <v>16.141702500000005</v>
      </c>
      <c r="U19" s="76">
        <f>U18*Parameters!$J$15/2000</f>
        <v>17.755872750000009</v>
      </c>
      <c r="V19" s="76">
        <f>V18*Parameters!$J$15/2000</f>
        <v>19.531460025000012</v>
      </c>
      <c r="W19" s="76">
        <f>W18*Parameters!$J$15/2000</f>
        <v>21.484606027500014</v>
      </c>
      <c r="X19" s="76">
        <f>X18*Parameters!$J$15/2000</f>
        <v>23.63306663025001</v>
      </c>
      <c r="Y19" s="76">
        <f>Y18*Parameters!$J$15/2000</f>
        <v>25.996373293275017</v>
      </c>
      <c r="Z19" s="76">
        <f>Z18*Parameters!$J$15/2000</f>
        <v>28.59601062260252</v>
      </c>
      <c r="AA19" s="76">
        <f>AA18*Parameters!$J$15/2000</f>
        <v>31.455611684862774</v>
      </c>
      <c r="AB19" s="76">
        <f>AB18*Parameters!$J$15/2000</f>
        <v>34.601172853349055</v>
      </c>
      <c r="AC19" s="76">
        <f>AC18*Parameters!$J$15/2000</f>
        <v>38.061290138683958</v>
      </c>
      <c r="AD19" s="76">
        <f>AD18*Parameters!$J$15/2000</f>
        <v>41.867419152552365</v>
      </c>
      <c r="AE19" s="76">
        <f>AE18*Parameters!$J$15/2000</f>
        <v>41.867419152552365</v>
      </c>
      <c r="AF19" s="76">
        <f>AF18*Parameters!$J$15/2000</f>
        <v>41.867419152552365</v>
      </c>
      <c r="AG19" s="76">
        <f>AG18*Parameters!$J$15/2000</f>
        <v>41.867419152552365</v>
      </c>
      <c r="AH19" s="76">
        <f>AH18*Parameters!$J$15/2000</f>
        <v>41.867419152552365</v>
      </c>
      <c r="AI19" s="76">
        <f>AI18*Parameters!$J$15/2000</f>
        <v>41.867419152552365</v>
      </c>
      <c r="AJ19" s="76">
        <f>AJ18*Parameters!$J$15/2000</f>
        <v>41.867419152552365</v>
      </c>
      <c r="AK19" s="76">
        <f>AK18*Parameters!$J$15/2000</f>
        <v>41.867419152552365</v>
      </c>
      <c r="AL19" s="76">
        <f>AL18*Parameters!$J$15/2000</f>
        <v>41.867419152552365</v>
      </c>
      <c r="AM19" s="84"/>
      <c r="AO19" s="8">
        <f>ROW()</f>
        <v>19</v>
      </c>
    </row>
    <row r="20" spans="1:41" ht="13.9" customHeight="1" x14ac:dyDescent="0.2">
      <c r="B20" s="74"/>
      <c r="C20" s="74"/>
      <c r="D20" s="74"/>
      <c r="E20" s="74"/>
      <c r="F20" s="74"/>
      <c r="G20" s="74"/>
      <c r="H20" s="75"/>
      <c r="I20" s="75"/>
      <c r="J20" s="75"/>
      <c r="K20" s="74"/>
      <c r="L20" s="74"/>
      <c r="M20" s="76"/>
      <c r="N20" s="76"/>
      <c r="O20" s="76"/>
      <c r="P20" s="76"/>
      <c r="Q20" s="76"/>
      <c r="R20" s="76"/>
      <c r="S20" s="76"/>
      <c r="T20" s="76"/>
      <c r="U20" s="76"/>
      <c r="V20" s="76"/>
      <c r="W20" s="76"/>
      <c r="X20" s="76"/>
      <c r="Y20" s="76"/>
      <c r="Z20" s="76"/>
      <c r="AA20" s="76"/>
      <c r="AB20" s="76"/>
      <c r="AC20" s="76"/>
      <c r="AD20" s="76"/>
      <c r="AE20" s="76"/>
      <c r="AF20" s="76"/>
      <c r="AG20" s="76"/>
      <c r="AH20" s="76"/>
      <c r="AI20" s="76"/>
      <c r="AJ20" s="76"/>
      <c r="AK20" s="76"/>
      <c r="AL20" s="76"/>
      <c r="AM20" s="84"/>
      <c r="AO20" s="8">
        <f>ROW()</f>
        <v>20</v>
      </c>
    </row>
    <row r="21" spans="1:41" ht="13.9" customHeight="1" x14ac:dyDescent="0.2">
      <c r="B21" s="42" t="s">
        <v>359</v>
      </c>
      <c r="E21" s="396" t="s">
        <v>361</v>
      </c>
      <c r="F21" s="392"/>
      <c r="G21" s="392"/>
      <c r="H21" s="392"/>
      <c r="I21" s="392"/>
      <c r="J21" s="392"/>
      <c r="K21">
        <v>5.8250000000000002</v>
      </c>
      <c r="M21" s="84"/>
      <c r="P21" s="84"/>
      <c r="V21" s="84"/>
      <c r="W21" s="84"/>
      <c r="X21" s="84"/>
      <c r="Y21" s="84"/>
      <c r="Z21" s="84"/>
      <c r="AA21" s="84"/>
      <c r="AB21" s="84"/>
      <c r="AC21" s="84"/>
      <c r="AD21" s="84"/>
      <c r="AE21" s="84"/>
      <c r="AF21" s="84"/>
      <c r="AG21" s="84"/>
      <c r="AH21" s="84"/>
      <c r="AI21" s="84"/>
      <c r="AJ21" s="84"/>
      <c r="AK21" s="84"/>
      <c r="AL21" s="84"/>
      <c r="AM21" s="84"/>
      <c r="AO21" s="8">
        <f>ROW()</f>
        <v>21</v>
      </c>
    </row>
    <row r="22" spans="1:41" ht="13.9" customHeight="1" x14ac:dyDescent="0.2">
      <c r="B22" s="42" t="s">
        <v>358</v>
      </c>
      <c r="E22" s="392"/>
      <c r="F22" s="392"/>
      <c r="G22" s="392"/>
      <c r="H22" s="392"/>
      <c r="I22" s="392"/>
      <c r="J22" s="392"/>
      <c r="K22" s="24">
        <f>$K$21*1000000/Parameters!$J$18</f>
        <v>138690.47619047618</v>
      </c>
      <c r="M22" s="84"/>
      <c r="P22" s="84"/>
      <c r="V22" s="84"/>
      <c r="W22" s="84"/>
      <c r="X22" s="84"/>
      <c r="Y22" s="84"/>
      <c r="Z22" s="84"/>
      <c r="AA22" s="84"/>
      <c r="AB22" s="84"/>
      <c r="AC22" s="84"/>
      <c r="AD22" s="84"/>
      <c r="AE22" s="84"/>
      <c r="AF22" s="84"/>
      <c r="AG22" s="84"/>
      <c r="AH22" s="84"/>
      <c r="AI22" s="84"/>
      <c r="AJ22" s="84"/>
      <c r="AK22" s="84"/>
      <c r="AL22" s="84"/>
      <c r="AM22" s="84"/>
      <c r="AO22" s="8">
        <f>ROW()</f>
        <v>22</v>
      </c>
    </row>
    <row r="23" spans="1:41" ht="13.9" customHeight="1" x14ac:dyDescent="0.2">
      <c r="B23" s="9" t="s">
        <v>381</v>
      </c>
      <c r="K23" s="32">
        <f>Emissions!J183/Parameters!J17</f>
        <v>6.1244416434958993</v>
      </c>
      <c r="L23" s="24"/>
      <c r="M23" s="84"/>
      <c r="P23" s="84"/>
      <c r="V23" s="84"/>
      <c r="W23" s="84"/>
      <c r="X23" s="84"/>
      <c r="Y23" s="84"/>
      <c r="Z23" s="84"/>
      <c r="AA23" s="84"/>
      <c r="AB23" s="84"/>
      <c r="AC23" s="84"/>
      <c r="AD23" s="84"/>
      <c r="AE23" s="84"/>
      <c r="AF23" s="84"/>
      <c r="AG23" s="84"/>
      <c r="AH23" s="84"/>
      <c r="AI23" s="84"/>
      <c r="AJ23" s="84"/>
      <c r="AK23" s="84"/>
      <c r="AL23" s="84"/>
      <c r="AM23" s="84"/>
      <c r="AO23" s="8">
        <f>ROW()</f>
        <v>23</v>
      </c>
    </row>
    <row r="24" spans="1:41" ht="13.9" customHeight="1" x14ac:dyDescent="0.2">
      <c r="B24" s="172" t="s">
        <v>389</v>
      </c>
      <c r="K24" s="8">
        <f>K23*1000000/K22</f>
        <v>44.159064210614211</v>
      </c>
      <c r="L24" s="32"/>
      <c r="M24" s="84"/>
      <c r="P24" s="84"/>
      <c r="V24" s="84"/>
      <c r="W24" s="84"/>
      <c r="X24" s="84"/>
      <c r="Y24" s="84"/>
      <c r="Z24" s="84"/>
      <c r="AA24" s="84"/>
      <c r="AB24" s="84"/>
      <c r="AC24" s="84"/>
      <c r="AD24" s="84"/>
      <c r="AE24" s="84"/>
      <c r="AF24" s="84"/>
      <c r="AG24" s="84"/>
      <c r="AH24" s="84"/>
      <c r="AI24" s="84"/>
      <c r="AJ24" s="84"/>
      <c r="AK24" s="84"/>
      <c r="AL24" s="84"/>
      <c r="AM24" s="84"/>
      <c r="AO24" s="8">
        <f>ROW()</f>
        <v>24</v>
      </c>
    </row>
    <row r="25" spans="1:41" ht="13.9" customHeight="1" x14ac:dyDescent="0.2">
      <c r="B25" s="9" t="s">
        <v>382</v>
      </c>
      <c r="K25" s="256">
        <f>K23*Parameters!$J$14</f>
        <v>22.456286026151631</v>
      </c>
      <c r="L25" s="22"/>
      <c r="M25" s="84"/>
      <c r="P25" s="155"/>
      <c r="S25" s="204"/>
      <c r="T25" s="204"/>
      <c r="U25" s="204"/>
      <c r="V25" s="204"/>
      <c r="W25" s="204"/>
      <c r="X25" s="204"/>
      <c r="Y25" s="204"/>
      <c r="Z25" s="204"/>
      <c r="AA25" s="204"/>
      <c r="AB25" s="204"/>
      <c r="AC25" s="204"/>
      <c r="AD25" s="204"/>
      <c r="AE25" s="204"/>
      <c r="AF25" s="204"/>
      <c r="AG25" s="204"/>
      <c r="AH25" s="204"/>
      <c r="AI25" s="204"/>
      <c r="AJ25" s="204"/>
      <c r="AK25" s="204"/>
      <c r="AL25" s="204"/>
      <c r="AM25" s="84"/>
      <c r="AO25" s="8">
        <f>ROW()</f>
        <v>25</v>
      </c>
    </row>
    <row r="26" spans="1:41" ht="13.9" customHeight="1" x14ac:dyDescent="0.2">
      <c r="B26" s="9"/>
      <c r="I26" s="22"/>
      <c r="J26" s="22"/>
      <c r="K26" s="32"/>
      <c r="L26" s="32"/>
      <c r="M26" s="84"/>
      <c r="P26" s="155"/>
      <c r="Q26" s="204"/>
      <c r="R26" s="204"/>
      <c r="S26" s="204"/>
      <c r="T26" s="204"/>
      <c r="U26" s="204"/>
      <c r="V26" s="204"/>
      <c r="W26" s="204"/>
      <c r="X26" s="204"/>
      <c r="Y26" s="204"/>
      <c r="Z26" s="204"/>
      <c r="AA26" s="204"/>
      <c r="AB26" s="204"/>
      <c r="AC26" s="204"/>
      <c r="AD26" s="204"/>
      <c r="AE26" s="204"/>
      <c r="AF26" s="204"/>
      <c r="AG26" s="204"/>
      <c r="AH26" s="204"/>
      <c r="AI26" s="204"/>
      <c r="AJ26" s="204"/>
      <c r="AK26" s="204"/>
      <c r="AL26" s="204"/>
      <c r="AM26" s="84"/>
      <c r="AO26" s="8">
        <f>ROW()</f>
        <v>26</v>
      </c>
    </row>
    <row r="27" spans="1:41" ht="13.9" customHeight="1" x14ac:dyDescent="0.2">
      <c r="B27" s="9"/>
      <c r="I27" s="22"/>
      <c r="J27" s="22"/>
      <c r="K27" s="32"/>
      <c r="L27" s="32"/>
      <c r="M27" s="84"/>
      <c r="P27" s="155"/>
      <c r="Q27" s="204"/>
      <c r="R27" s="204"/>
      <c r="S27" s="204"/>
      <c r="T27" s="204"/>
      <c r="U27" s="204"/>
      <c r="V27" s="204"/>
      <c r="W27" s="204"/>
      <c r="X27" s="204"/>
      <c r="Y27" s="204"/>
      <c r="Z27" s="204"/>
      <c r="AA27" s="204"/>
      <c r="AB27" s="204"/>
      <c r="AC27" s="204"/>
      <c r="AD27" s="204"/>
      <c r="AE27" s="204"/>
      <c r="AF27" s="204"/>
      <c r="AG27" s="204"/>
      <c r="AH27" s="204"/>
      <c r="AI27" s="204"/>
      <c r="AJ27" s="204"/>
      <c r="AK27" s="204"/>
      <c r="AL27" s="204"/>
      <c r="AM27" s="84"/>
      <c r="AO27" s="8">
        <f>ROW()</f>
        <v>27</v>
      </c>
    </row>
    <row r="28" spans="1:41" ht="13.9" customHeight="1" x14ac:dyDescent="0.2">
      <c r="B28" s="234" t="s">
        <v>547</v>
      </c>
      <c r="J28" s="299">
        <f>Summary!J89*IF(Summary!D95="YES",1,0)</f>
        <v>6</v>
      </c>
      <c r="K28" s="300" t="s">
        <v>7</v>
      </c>
      <c r="L28" s="94"/>
      <c r="M28" s="94">
        <f>IF(Summary!$J78=1,MAX(0,$J$28*MIN(1,M17)+$J$29*(M17-1)),IF(M17=0,0,($J$28*(1+$J$29/100)^(M17-1))))</f>
        <v>0</v>
      </c>
      <c r="N28" s="94">
        <f>IF(Summary!$J78=1,MAX(0,$J$28*MIN(1,N17)+$J$29*(N17-1)),IF(N17=0,0,($J$28*(1+$J$29/100)^(N17-1))))</f>
        <v>0</v>
      </c>
      <c r="O28" s="94">
        <f>IF(Summary!$J78=1,MAX(0,$J$28*MIN(1,O17)+$J$29*(O17-1)),IF(O17=0,0,($J$28*(1+$J$29/100)^(O17-1))))</f>
        <v>0</v>
      </c>
      <c r="P28" s="94">
        <f>IF(Summary!$J78=1,MAX(0,$J$28*MIN(1,P17)+$J$29*(P17-1)),IF(P17=0,0,($J$28*(1+$J$29/100)^(P17-1))))</f>
        <v>6</v>
      </c>
      <c r="Q28" s="94">
        <f>IF(Summary!$J78=1,MAX(0,$J$28*MIN(1,Q17)+$J$29*(Q17-1)),IF(Q17=0,0,($J$28*(1+$J$29/100)^(Q17-1))))</f>
        <v>6.6000000000000005</v>
      </c>
      <c r="R28" s="94">
        <f>IF(Summary!$J78=1,MAX(0,$J$28*MIN(1,R17)+$J$29*(R17-1)),IF(R17=0,0,($J$28*(1+$J$29/100)^(R17-1))))</f>
        <v>7.2600000000000016</v>
      </c>
      <c r="S28" s="94">
        <f>IF(Summary!$J78=1,MAX(0,$J$28*MIN(1,S17)+$J$29*(S17-1)),IF(S17=0,0,($J$28*(1+$J$29/100)^(S17-1))))</f>
        <v>7.9860000000000024</v>
      </c>
      <c r="T28" s="94">
        <f>IF(Summary!$J78=1,MAX(0,$J$28*MIN(1,T17)+$J$29*(T17-1)),IF(T17=0,0,($J$28*(1+$J$29/100)^(T17-1))))</f>
        <v>8.7846000000000029</v>
      </c>
      <c r="U28" s="94">
        <f>IF(Summary!$J78=1,MAX(0,$J$28*MIN(1,U17)+$J$29*(U17-1)),IF(U17=0,0,($J$28*(1+$J$29/100)^(U17-1))))</f>
        <v>9.6630600000000033</v>
      </c>
      <c r="V28" s="94">
        <f>IF(Summary!$J78=1,MAX(0,$J$28*MIN(1,V17)+$J$29*(V17-1)),IF(V17=0,0,($J$28*(1+$J$29/100)^(V17-1))))</f>
        <v>10.629366000000005</v>
      </c>
      <c r="W28" s="94">
        <f>IF(Summary!$J78=1,MAX(0,$J$28*MIN(1,W17)+$J$29*(W17-1)),IF(W17=0,0,($J$28*(1+$J$29/100)^(W17-1))))</f>
        <v>11.692302600000007</v>
      </c>
      <c r="X28" s="94">
        <f>IF(Summary!$J78=1,MAX(0,$J$28*MIN(1,X17)+$J$29*(X17-1)),IF(X17=0,0,($J$28*(1+$J$29/100)^(X17-1))))</f>
        <v>12.861532860000008</v>
      </c>
      <c r="Y28" s="94">
        <f>IF(Summary!$J78=1,MAX(0,$J$28*MIN(1,Y17)+$J$29*(Y17-1)),IF(Y17=0,0,($J$28*(1+$J$29/100)^(Y17-1))))</f>
        <v>14.147686146000009</v>
      </c>
      <c r="Z28" s="94">
        <f>IF(Summary!$J78=1,MAX(0,$J$28*MIN(1,Z17)+$J$29*(Z17-1)),IF(Z17=0,0,($J$28*(1+$J$29/100)^(Z17-1))))</f>
        <v>15.562454760600012</v>
      </c>
      <c r="AA28" s="94">
        <f>IF(Summary!$J78=1,MAX(0,$J$28*MIN(1,AA17)+$J$29*(AA17-1)),IF(AA17=0,0,($J$28*(1+$J$29/100)^(AA17-1))))</f>
        <v>17.118700236660015</v>
      </c>
      <c r="AB28" s="94">
        <f>IF(Summary!$J78=1,MAX(0,$J$28*MIN(1,AB17)+$J$29*(AB17-1)),IF(AB17=0,0,($J$28*(1+$J$29/100)^(AB17-1))))</f>
        <v>18.830570260326017</v>
      </c>
      <c r="AC28" s="94">
        <f>IF(Summary!$J78=1,MAX(0,$J$28*MIN(1,AC17)+$J$29*(AC17-1)),IF(AC17=0,0,($J$28*(1+$J$29/100)^(AC17-1))))</f>
        <v>20.713627286358616</v>
      </c>
      <c r="AD28" s="94">
        <f>IF(Summary!$J78=1,MAX(0,$J$28*MIN(1,AD17)+$J$29*(AD17-1)),IF(AD17=0,0,($J$28*(1+$J$29/100)^(AD17-1))))</f>
        <v>22.784990014994484</v>
      </c>
      <c r="AE28" s="94">
        <f>IF(Summary!$J78=1,MAX(0,$J$28*MIN(1,AE17)+$J$29*(AE17-1)),IF(AE17=0,0,($J$28*(1+$J$29/100)^(AE17-1))))</f>
        <v>22.784990014994484</v>
      </c>
      <c r="AF28" s="94">
        <f>IF(Summary!$J78=1,MAX(0,$J$28*MIN(1,AF17)+$J$29*(AF17-1)),IF(AF17=0,0,($J$28*(1+$J$29/100)^(AF17-1))))</f>
        <v>22.784990014994484</v>
      </c>
      <c r="AG28" s="94">
        <f>IF(Summary!$J78=1,MAX(0,$J$28*MIN(1,AG17)+$J$29*(AG17-1)),IF(AG17=0,0,($J$28*(1+$J$29/100)^(AG17-1))))</f>
        <v>22.784990014994484</v>
      </c>
      <c r="AH28" s="94">
        <f>IF(Summary!$J78=1,MAX(0,$J$28*MIN(1,AH17)+$J$29*(AH17-1)),IF(AH17=0,0,($J$28*(1+$J$29/100)^(AH17-1))))</f>
        <v>22.784990014994484</v>
      </c>
      <c r="AI28" s="94">
        <f>IF(Summary!$J78=1,MAX(0,$J$28*MIN(1,AI17)+$J$29*(AI17-1)),IF(AI17=0,0,($J$28*(1+$J$29/100)^(AI17-1))))</f>
        <v>22.784990014994484</v>
      </c>
      <c r="AJ28" s="94">
        <f>IF(Summary!$J78=1,MAX(0,$J$28*MIN(1,AJ17)+$J$29*(AJ17-1)),IF(AJ17=0,0,($J$28*(1+$J$29/100)^(AJ17-1))))</f>
        <v>22.784990014994484</v>
      </c>
      <c r="AK28" s="94">
        <f>IF(Summary!$J78=1,MAX(0,$J$28*MIN(1,AK17)+$J$29*(AK17-1)),IF(AK17=0,0,($J$28*(1+$J$29/100)^(AK17-1))))</f>
        <v>22.784990014994484</v>
      </c>
      <c r="AL28" s="94">
        <f>IF(Summary!$J78=1,MAX(0,$J$28*MIN(1,AL17)+$J$29*(AL17-1)),IF(AL17=0,0,($J$28*(1+$J$29/100)^(AL17-1))))</f>
        <v>22.784990014994484</v>
      </c>
      <c r="AM28" s="84"/>
      <c r="AO28" s="8">
        <f>ROW()</f>
        <v>28</v>
      </c>
    </row>
    <row r="29" spans="1:41" ht="13.9" customHeight="1" x14ac:dyDescent="0.2">
      <c r="B29" s="234" t="s">
        <v>537</v>
      </c>
      <c r="J29" s="299">
        <f>IF(Summary!J78=1,MAX(J28*I12/I11, 0.0001),Summary!J85*100*IF(Summary!D95="YES",1,0))</f>
        <v>10</v>
      </c>
      <c r="K29" s="300" t="str">
        <f>IF(Summary!$J$78=1,"¢/gal","%")</f>
        <v>%</v>
      </c>
      <c r="L29" s="64"/>
      <c r="M29" s="233"/>
      <c r="N29" s="233"/>
      <c r="O29" s="233"/>
      <c r="P29" s="155"/>
      <c r="Q29" s="84"/>
      <c r="R29" s="84"/>
      <c r="S29" s="84"/>
      <c r="T29" s="84"/>
      <c r="U29" s="84"/>
      <c r="V29" s="84"/>
      <c r="W29" s="84"/>
      <c r="X29" s="84"/>
      <c r="Y29" s="84"/>
      <c r="Z29" s="84"/>
      <c r="AA29" s="84"/>
      <c r="AB29" s="84"/>
      <c r="AC29" s="84"/>
      <c r="AD29" s="84"/>
      <c r="AE29" s="84"/>
      <c r="AF29" s="84"/>
      <c r="AG29" s="84"/>
      <c r="AH29" s="84"/>
      <c r="AI29" s="84"/>
      <c r="AJ29" s="84"/>
      <c r="AK29" s="84"/>
      <c r="AL29" s="84"/>
      <c r="AM29" s="84"/>
      <c r="AO29" s="8">
        <f>ROW()</f>
        <v>29</v>
      </c>
    </row>
    <row r="30" spans="1:41" ht="13.9" customHeight="1" x14ac:dyDescent="0.2">
      <c r="B30" s="9"/>
      <c r="I30" s="165">
        <v>2005</v>
      </c>
      <c r="J30" s="165"/>
      <c r="K30" s="165">
        <f>K7</f>
        <v>2007</v>
      </c>
      <c r="L30" s="165"/>
      <c r="M30" s="165">
        <f t="shared" ref="M30:AI30" si="2">M7</f>
        <v>2009</v>
      </c>
      <c r="N30" s="165">
        <f t="shared" si="2"/>
        <v>2010</v>
      </c>
      <c r="O30" s="165">
        <f t="shared" si="2"/>
        <v>2011</v>
      </c>
      <c r="P30" s="165">
        <f t="shared" si="2"/>
        <v>2012</v>
      </c>
      <c r="Q30" s="165">
        <f t="shared" si="2"/>
        <v>2013</v>
      </c>
      <c r="R30" s="165">
        <f t="shared" si="2"/>
        <v>2014</v>
      </c>
      <c r="S30" s="165">
        <f t="shared" si="2"/>
        <v>2015</v>
      </c>
      <c r="T30" s="165">
        <f t="shared" si="2"/>
        <v>2016</v>
      </c>
      <c r="U30" s="165">
        <f t="shared" si="2"/>
        <v>2017</v>
      </c>
      <c r="V30" s="165">
        <f t="shared" si="2"/>
        <v>2018</v>
      </c>
      <c r="W30" s="165">
        <f t="shared" si="2"/>
        <v>2019</v>
      </c>
      <c r="X30" s="165">
        <f t="shared" si="2"/>
        <v>2020</v>
      </c>
      <c r="Y30" s="165">
        <f t="shared" si="2"/>
        <v>2021</v>
      </c>
      <c r="Z30" s="165">
        <f t="shared" si="2"/>
        <v>2022</v>
      </c>
      <c r="AA30" s="165">
        <f t="shared" si="2"/>
        <v>2023</v>
      </c>
      <c r="AB30" s="165">
        <f t="shared" si="2"/>
        <v>2024</v>
      </c>
      <c r="AC30" s="165">
        <f t="shared" si="2"/>
        <v>2025</v>
      </c>
      <c r="AD30" s="165">
        <f t="shared" si="2"/>
        <v>2026</v>
      </c>
      <c r="AE30" s="165">
        <f t="shared" si="2"/>
        <v>2027</v>
      </c>
      <c r="AF30" s="165">
        <f t="shared" si="2"/>
        <v>2028</v>
      </c>
      <c r="AG30" s="165">
        <f t="shared" si="2"/>
        <v>2029</v>
      </c>
      <c r="AH30" s="165">
        <f t="shared" si="2"/>
        <v>2030</v>
      </c>
      <c r="AI30" s="165">
        <f t="shared" si="2"/>
        <v>2031</v>
      </c>
      <c r="AO30" s="8">
        <f>ROW()</f>
        <v>30</v>
      </c>
    </row>
    <row r="31" spans="1:41" ht="13.9" customHeight="1" x14ac:dyDescent="0.2">
      <c r="B31" s="42" t="s">
        <v>370</v>
      </c>
      <c r="H31" s="123" t="s">
        <v>353</v>
      </c>
      <c r="I31" s="166">
        <f>Emissions!Z119</f>
        <v>4118.0110000000004</v>
      </c>
      <c r="J31" s="166"/>
      <c r="K31" s="166">
        <f>Emissions!Z121</f>
        <v>4195.9110000000001</v>
      </c>
      <c r="L31" s="166"/>
      <c r="M31" s="166">
        <f>Emissions!Z123</f>
        <v>3631.0810000000001</v>
      </c>
      <c r="N31" s="166">
        <f>Emissions!Z124</f>
        <v>3800.3139999999999</v>
      </c>
      <c r="O31" s="166">
        <f>Emissions!Z125</f>
        <v>3886.6540219400076</v>
      </c>
      <c r="AO31" s="8">
        <f>ROW()</f>
        <v>31</v>
      </c>
    </row>
    <row r="32" spans="1:41" ht="13.9" customHeight="1" x14ac:dyDescent="0.2">
      <c r="B32" s="172" t="s">
        <v>549</v>
      </c>
      <c r="I32" s="5">
        <v>0.8</v>
      </c>
      <c r="M32" s="84"/>
      <c r="AO32" s="8">
        <f>ROW()</f>
        <v>32</v>
      </c>
    </row>
    <row r="33" spans="2:41" ht="13.9" customHeight="1" x14ac:dyDescent="0.2">
      <c r="B33" s="42" t="s">
        <v>548</v>
      </c>
      <c r="I33" s="167">
        <f>$I$32*I31*Parameters!$J$19</f>
        <v>1202459.2120000003</v>
      </c>
      <c r="J33" s="167"/>
      <c r="K33" s="167">
        <f>$I$32*K31*Parameters!$J$19</f>
        <v>1225206.0120000001</v>
      </c>
      <c r="L33" s="167"/>
      <c r="M33" s="167">
        <f>$I$32*M31*Parameters!$J$19</f>
        <v>1060275.652</v>
      </c>
      <c r="N33" s="167">
        <f>$I$32*N31*Parameters!$J$19</f>
        <v>1109691.6880000001</v>
      </c>
      <c r="O33" s="167">
        <f>$I$32*O31*Parameters!$J$19</f>
        <v>1134902.9744064822</v>
      </c>
      <c r="AO33" s="8">
        <f>ROW()</f>
        <v>33</v>
      </c>
    </row>
    <row r="34" spans="2:41" ht="13.9" customHeight="1" x14ac:dyDescent="0.2">
      <c r="B34" s="42" t="s">
        <v>371</v>
      </c>
      <c r="I34" s="166">
        <f>I33*Parameters!$J$18/1000</f>
        <v>50503.286904000015</v>
      </c>
      <c r="J34" s="166"/>
      <c r="K34" s="166">
        <f>K33*Parameters!$J$18/1000</f>
        <v>51458.652504000005</v>
      </c>
      <c r="L34" s="166"/>
      <c r="M34" s="166">
        <f>M33*Parameters!$J$18/1000</f>
        <v>44531.577384000004</v>
      </c>
      <c r="N34" s="166">
        <f>N33*Parameters!$J$18/1000</f>
        <v>46607.050896000008</v>
      </c>
      <c r="O34" s="166">
        <f>O33*Parameters!$J$18/1000</f>
        <v>47665.92492507225</v>
      </c>
      <c r="AO34" s="8">
        <f>ROW()</f>
        <v>34</v>
      </c>
    </row>
    <row r="35" spans="2:41" ht="13.9" customHeight="1" x14ac:dyDescent="0.2">
      <c r="B35" s="42"/>
      <c r="I35" s="166"/>
      <c r="J35" s="166"/>
      <c r="K35" s="166"/>
      <c r="L35" s="166"/>
      <c r="M35" s="166"/>
      <c r="N35" s="166"/>
      <c r="O35" s="166"/>
      <c r="X35" s="4"/>
      <c r="AO35" s="8">
        <f>ROW()</f>
        <v>35</v>
      </c>
    </row>
    <row r="36" spans="2:41" ht="13.9" customHeight="1" x14ac:dyDescent="0.2">
      <c r="B36" s="42" t="s">
        <v>383</v>
      </c>
      <c r="C36" s="42"/>
      <c r="D36" s="42"/>
      <c r="E36" s="42"/>
      <c r="F36" s="42"/>
      <c r="G36" s="42"/>
      <c r="H36" s="42"/>
      <c r="I36" s="42"/>
      <c r="J36" s="257"/>
      <c r="K36" s="257">
        <f>(1+'Personal Ground Travel'!$K$36)*(1+0.01)-1</f>
        <v>2.7169999999999916E-2</v>
      </c>
      <c r="L36" s="481" t="s">
        <v>384</v>
      </c>
      <c r="M36" s="429"/>
      <c r="N36" s="429"/>
      <c r="O36" s="429"/>
      <c r="P36" s="429"/>
      <c r="Q36" s="429"/>
      <c r="R36" s="429"/>
      <c r="S36" s="429"/>
      <c r="T36" s="429"/>
      <c r="U36" s="429"/>
      <c r="V36" s="392"/>
      <c r="W36" s="392"/>
      <c r="Y36" s="235"/>
      <c r="AO36" s="8">
        <f>ROW()</f>
        <v>36</v>
      </c>
    </row>
    <row r="37" spans="2:41" ht="13.9" customHeight="1" x14ac:dyDescent="0.2">
      <c r="L37" s="429"/>
      <c r="M37" s="429"/>
      <c r="N37" s="429"/>
      <c r="O37" s="429"/>
      <c r="P37" s="429"/>
      <c r="Q37" s="429"/>
      <c r="R37" s="429"/>
      <c r="S37" s="429"/>
      <c r="T37" s="429"/>
      <c r="U37" s="429"/>
      <c r="V37" s="392"/>
      <c r="W37" s="392"/>
      <c r="Y37" s="235"/>
      <c r="AO37" s="8">
        <f>ROW()</f>
        <v>37</v>
      </c>
    </row>
    <row r="38" spans="2:41" ht="13.9" customHeight="1" x14ac:dyDescent="0.2">
      <c r="B38" s="42" t="s">
        <v>366</v>
      </c>
      <c r="K38" s="5">
        <v>0.75</v>
      </c>
      <c r="L38" s="429"/>
      <c r="M38" s="429"/>
      <c r="N38" s="429"/>
      <c r="O38" s="429"/>
      <c r="P38" s="429"/>
      <c r="Q38" s="429"/>
      <c r="R38" s="429"/>
      <c r="S38" s="429"/>
      <c r="T38" s="429"/>
      <c r="U38" s="429"/>
      <c r="V38" s="392"/>
      <c r="W38" s="392"/>
      <c r="AO38" s="8">
        <f>ROW()</f>
        <v>38</v>
      </c>
    </row>
    <row r="39" spans="2:41" ht="13.9" customHeight="1" x14ac:dyDescent="0.2">
      <c r="B39" s="258" t="s">
        <v>367</v>
      </c>
      <c r="K39" s="8"/>
      <c r="L39" s="259"/>
      <c r="M39" s="259"/>
      <c r="N39" s="259"/>
      <c r="O39" s="259"/>
      <c r="P39" s="259"/>
      <c r="Q39" s="259"/>
      <c r="R39" s="259"/>
      <c r="S39" s="259"/>
      <c r="T39" s="259"/>
      <c r="U39" s="259"/>
      <c r="V39" s="239"/>
      <c r="W39" s="239"/>
      <c r="AO39" s="8">
        <f>ROW()</f>
        <v>39</v>
      </c>
    </row>
    <row r="40" spans="2:41" ht="13.9" customHeight="1" x14ac:dyDescent="0.2">
      <c r="B40" s="42" t="s">
        <v>385</v>
      </c>
      <c r="K40" s="257">
        <f>K36*K38</f>
        <v>2.0377499999999937E-2</v>
      </c>
      <c r="L40" s="259"/>
      <c r="M40" s="259"/>
      <c r="N40" s="259"/>
      <c r="O40" s="259"/>
      <c r="P40" s="259"/>
      <c r="Q40" s="259"/>
      <c r="R40" s="259"/>
      <c r="S40" s="259"/>
      <c r="T40" s="259"/>
      <c r="U40" s="259"/>
      <c r="V40" s="239"/>
      <c r="W40" s="239"/>
      <c r="AO40" s="8">
        <f>ROW()</f>
        <v>40</v>
      </c>
    </row>
    <row r="41" spans="2:41" ht="13.9" customHeight="1" x14ac:dyDescent="0.2">
      <c r="B41" s="258" t="str">
        <f>CONCATENATE("Product of Rows ",AO36, " and ",AO38, ".")</f>
        <v>Product of Rows 36 and 38.</v>
      </c>
      <c r="K41" s="257"/>
      <c r="L41" s="259"/>
      <c r="M41" s="259"/>
      <c r="N41" s="259"/>
      <c r="O41" s="259"/>
      <c r="P41" s="259"/>
      <c r="Q41" s="259"/>
      <c r="R41" s="259"/>
      <c r="S41" s="259"/>
      <c r="T41" s="259"/>
      <c r="U41" s="259"/>
      <c r="V41" s="239"/>
      <c r="W41" s="239"/>
      <c r="AO41" s="8">
        <f>ROW()</f>
        <v>41</v>
      </c>
    </row>
    <row r="42" spans="2:41" ht="13.9" customHeight="1" x14ac:dyDescent="0.2">
      <c r="B42" s="42" t="s">
        <v>550</v>
      </c>
      <c r="I42" s="166">
        <f>I34</f>
        <v>50503.286904000015</v>
      </c>
      <c r="J42" s="166"/>
      <c r="K42" s="166">
        <f>K34</f>
        <v>51458.652504000005</v>
      </c>
      <c r="L42" s="166"/>
      <c r="M42" s="166">
        <f>M34</f>
        <v>44531.577384000004</v>
      </c>
      <c r="N42" s="166">
        <f>N34</f>
        <v>46607.050896000008</v>
      </c>
      <c r="O42" s="166">
        <f>O34</f>
        <v>47665.92492507225</v>
      </c>
      <c r="P42" s="166">
        <f>O42*((1+Parameters!$J$8)^Parameters!$G$46)*((1+Parameters!$J$9)^Parameters!$G$46)^(P7-2012)*((1+$K$40)^Parameters!$F$46)^(P7-2011)</f>
        <v>47813.794086511669</v>
      </c>
      <c r="Q42" s="166">
        <f>P42*((1+Parameters!$J$9)^Parameters!$G$46)*(1+$K$40)^Parameters!$F$46</f>
        <v>48139.213035518362</v>
      </c>
      <c r="R42" s="166">
        <f>Q42*((1+Parameters!$J$9)^Parameters!$G$46)*(1+$K$40)^Parameters!$F$46</f>
        <v>48466.846774093545</v>
      </c>
      <c r="S42" s="166">
        <f>R42*((1+Parameters!$J$9)^Parameters!$G$46)*(1+$K$40)^Parameters!$F$46</f>
        <v>48796.710376014722</v>
      </c>
      <c r="T42" s="166">
        <f>S42*((1+Parameters!$J$9)^Parameters!$G$46)*(1+$K$40)^Parameters!$F$46</f>
        <v>49128.819017650974</v>
      </c>
      <c r="U42" s="166">
        <f>T42*((1+Parameters!$J$9)^Parameters!$G$46)*(1+$K$40)^Parameters!$F$46</f>
        <v>49463.187978661212</v>
      </c>
      <c r="V42" s="166">
        <f>U42*((1+Parameters!$J$9)^Parameters!$G$46)*(1+$K$40)^Parameters!$F$46</f>
        <v>49799.832642697133</v>
      </c>
      <c r="W42" s="166">
        <f>V42*((1+Parameters!$J$9)^Parameters!$G$46)*(1+$K$40)^Parameters!$F$46</f>
        <v>50138.768498111036</v>
      </c>
      <c r="X42" s="166">
        <f>W42*((1+Parameters!$J$9)^Parameters!$G$46)*(1+$K$40)^Parameters!$F$46</f>
        <v>50480.011138668357</v>
      </c>
      <c r="Y42" s="166">
        <f>X42*((1+Parameters!$J$9)^Parameters!$G$46)*(1+$K$40)^Parameters!$F$46</f>
        <v>50823.576264265153</v>
      </c>
      <c r="Z42" s="166">
        <f>Y42*((1+Parameters!$J$9)^Parameters!$G$46)*(1+$K$40)^Parameters!$F$46</f>
        <v>51169.479681650395</v>
      </c>
      <c r="AA42" s="166">
        <f>Z42*((1+Parameters!$J$9)^Parameters!$G$46)*(1+$K$40)^Parameters!$F$46</f>
        <v>51517.737305153219</v>
      </c>
      <c r="AB42" s="166">
        <f>AA42*((1+Parameters!$J$9)^Parameters!$G$46)*(1+$K$40)^Parameters!$F$46</f>
        <v>51868.365157415115</v>
      </c>
      <c r="AC42" s="166">
        <f>AB42*((1+Parameters!$J$9)^Parameters!$G$46)*(1+$K$40)^Parameters!$F$46</f>
        <v>52221.37937012707</v>
      </c>
      <c r="AD42" s="166">
        <f>AC42*((1+Parameters!$J$9)^Parameters!$G$46)*(1+$K$40)^Parameters!$F$46</f>
        <v>52576.796184771796</v>
      </c>
      <c r="AE42" s="166">
        <f>AD42*((1+Parameters!$J$9)^Parameters!$G$46)*(1+$K$40)^Parameters!$F$46</f>
        <v>52934.631953370932</v>
      </c>
      <c r="AF42" s="166">
        <f>AE42*((1+Parameters!$J$9)^Parameters!$G$46)*(1+$K$40)^Parameters!$F$46</f>
        <v>53294.903139237394</v>
      </c>
      <c r="AG42" s="166">
        <f>AF42*((1+Parameters!$J$9)^Parameters!$G$46)*(1+$K$40)^Parameters!$F$46</f>
        <v>53657.6263177328</v>
      </c>
      <c r="AH42" s="166">
        <f>AG42*((1+Parameters!$J$9)^Parameters!$G$46)*(1+$K$40)^Parameters!$F$46</f>
        <v>54022.81817703008</v>
      </c>
      <c r="AI42" s="166">
        <f>AH42*((1+Parameters!$J$9)^Parameters!$G$46)*(1+$K$40)^Parameters!$F$46</f>
        <v>54390.495518881275</v>
      </c>
      <c r="AJ42" s="166">
        <f>AI42*((1+Parameters!$J$9)^Parameters!$G$46)*(1+$K$40)^Parameters!$F$46</f>
        <v>54760.675259390533</v>
      </c>
      <c r="AK42" s="166">
        <f>AJ42*((1+Parameters!$J$9)^Parameters!$G$46)*(1+$K$40)^Parameters!$F$46</f>
        <v>55133.374429792384</v>
      </c>
      <c r="AL42" s="166">
        <f>AK42*((1+Parameters!$J$9)^Parameters!$G$46)*(1+$K$40)^Parameters!$F$46</f>
        <v>55508.610177235336</v>
      </c>
      <c r="AO42" s="8">
        <f>ROW()</f>
        <v>42</v>
      </c>
    </row>
    <row r="43" spans="2:41" ht="13.9" customHeight="1" x14ac:dyDescent="0.2">
      <c r="B43" s="396" t="str">
        <f>CONCATENATE("2005-2011 figures are from Row ",AO34, ". Figures for 2012 and later apply income-elasticity for diesel fuel given in Parameters page, Row ",Parameters!$O$46," to assumed GDP growth rates given in Row ",Parameters!$O$8, " from same tab.")</f>
        <v>2005-2011 figures are from Row 34. Figures for 2012 and later apply income-elasticity for diesel fuel given in Parameters page, Row 46 to assumed GDP growth rates given in Row 8 from same tab.</v>
      </c>
      <c r="C43" s="392"/>
      <c r="D43" s="392"/>
      <c r="E43" s="392"/>
      <c r="F43" s="392"/>
      <c r="G43" s="392"/>
      <c r="H43" s="392"/>
      <c r="I43" s="392"/>
      <c r="J43" s="392"/>
      <c r="K43" s="392"/>
      <c r="L43" s="392"/>
      <c r="M43" s="423"/>
      <c r="AO43" s="8">
        <f>ROW()</f>
        <v>43</v>
      </c>
    </row>
    <row r="44" spans="2:41" ht="13.9" customHeight="1" x14ac:dyDescent="0.2">
      <c r="B44" s="392"/>
      <c r="C44" s="392"/>
      <c r="D44" s="392"/>
      <c r="E44" s="392"/>
      <c r="F44" s="392"/>
      <c r="G44" s="392"/>
      <c r="H44" s="392"/>
      <c r="I44" s="392"/>
      <c r="J44" s="392"/>
      <c r="K44" s="392"/>
      <c r="L44" s="392"/>
      <c r="M44" s="423"/>
      <c r="AO44" s="8">
        <f>ROW()</f>
        <v>44</v>
      </c>
    </row>
    <row r="45" spans="2:41" ht="13.9" customHeight="1" x14ac:dyDescent="0.2">
      <c r="M45"/>
      <c r="N45" s="210"/>
      <c r="O45" s="210"/>
      <c r="P45" s="210"/>
      <c r="Q45" s="210"/>
      <c r="R45" s="210"/>
      <c r="S45" s="210"/>
      <c r="T45" s="210"/>
      <c r="U45" s="210"/>
      <c r="V45" s="210"/>
      <c r="W45" s="210"/>
      <c r="X45" s="210"/>
      <c r="Y45" s="210"/>
      <c r="AO45" s="8">
        <f>ROW()</f>
        <v>45</v>
      </c>
    </row>
    <row r="46" spans="2:41" ht="13.9" customHeight="1" x14ac:dyDescent="0.2">
      <c r="B46" t="s">
        <v>193</v>
      </c>
      <c r="I46" s="28">
        <f>I42*$K$25/Parameters!$J$15</f>
        <v>514.33843808481731</v>
      </c>
      <c r="J46" s="28"/>
      <c r="K46" s="28">
        <f>K42*$K$25/Parameters!$J$15</f>
        <v>524.06812659871559</v>
      </c>
      <c r="L46" s="28"/>
      <c r="M46" s="179">
        <f>M42*$K$25/Parameters!$J$15</f>
        <v>453.52101538812212</v>
      </c>
      <c r="N46" s="179">
        <f>N42*$K$25/Parameters!$J$15</f>
        <v>474.65817041087655</v>
      </c>
      <c r="O46" s="179">
        <f>O42*$K$25/Parameters!$J$15</f>
        <v>485.44201533718496</v>
      </c>
      <c r="P46" s="179">
        <f>P42*$K$25/Parameters!$J$15</f>
        <v>486.94795283547552</v>
      </c>
      <c r="Q46" s="179">
        <f>Q42*$K$25/Parameters!$J$15</f>
        <v>490.26210294759522</v>
      </c>
      <c r="R46" s="179">
        <f>R42*$K$25/Parameters!$J$15</f>
        <v>493.59880904521953</v>
      </c>
      <c r="S46" s="179">
        <f>S42*$K$25/Parameters!$J$15</f>
        <v>496.95822464356814</v>
      </c>
      <c r="T46" s="179">
        <f>T42*$K$25/Parameters!$J$15</f>
        <v>500.34050430267934</v>
      </c>
      <c r="U46" s="179">
        <f>U42*$K$25/Parameters!$J$15</f>
        <v>503.74580363452208</v>
      </c>
      <c r="V46" s="179">
        <f>V42*$K$25/Parameters!$J$15</f>
        <v>507.17427931015396</v>
      </c>
      <c r="W46" s="179">
        <f>W42*$K$25/Parameters!$J$15</f>
        <v>510.62608906693077</v>
      </c>
      <c r="X46" s="179">
        <f>X42*$K$25/Parameters!$J$15</f>
        <v>514.1013917157627</v>
      </c>
      <c r="Y46" s="179">
        <f>Y42*$K$25/Parameters!$J$15</f>
        <v>517.60034714842141</v>
      </c>
      <c r="Z46" s="179">
        <f>Z42*$K$25/Parameters!$J$15</f>
        <v>521.12311634489595</v>
      </c>
      <c r="AA46" s="179">
        <f>AA42*$K$25/Parameters!$J$15</f>
        <v>524.66986138079949</v>
      </c>
      <c r="AB46" s="179">
        <f>AB42*$K$25/Parameters!$J$15</f>
        <v>528.24074543482595</v>
      </c>
      <c r="AC46" s="179">
        <f>AC42*$K$25/Parameters!$J$15</f>
        <v>531.83593279625734</v>
      </c>
      <c r="AD46" s="179">
        <f>AD42*$K$25/Parameters!$J$15</f>
        <v>535.45558887252298</v>
      </c>
      <c r="AE46" s="179">
        <f>AE42*$K$25/Parameters!$J$15</f>
        <v>539.09988019680873</v>
      </c>
      <c r="AF46" s="179">
        <f>AF42*$K$25/Parameters!$J$15</f>
        <v>542.76897443571954</v>
      </c>
      <c r="AG46" s="179">
        <f>AG42*$K$25/Parameters!$J$15</f>
        <v>546.46304039699282</v>
      </c>
      <c r="AH46" s="179">
        <f>AH42*$K$25/Parameters!$J$15</f>
        <v>550.18224803726571</v>
      </c>
      <c r="AI46" s="179">
        <f>AI42*$K$25/Parameters!$J$15</f>
        <v>553.92676846989411</v>
      </c>
      <c r="AJ46" s="179">
        <f>AJ42*$K$25/Parameters!$J$15</f>
        <v>557.69677397282487</v>
      </c>
      <c r="AK46" s="179">
        <f>AK42*$K$25/Parameters!$J$15</f>
        <v>561.49243799652265</v>
      </c>
      <c r="AL46" s="179">
        <f>AL42*$K$25/Parameters!$J$15</f>
        <v>565.3139351719492</v>
      </c>
      <c r="AM46" s="19"/>
      <c r="AO46" s="8">
        <f>ROW()</f>
        <v>46</v>
      </c>
    </row>
    <row r="47" spans="2:41" ht="13.9" customHeight="1" x14ac:dyDescent="0.2">
      <c r="M47" s="84"/>
      <c r="AO47" s="8">
        <f>ROW()</f>
        <v>47</v>
      </c>
    </row>
    <row r="48" spans="2:41" ht="13.9" customHeight="1" x14ac:dyDescent="0.2">
      <c r="B48" s="66" t="s">
        <v>37</v>
      </c>
      <c r="F48" s="261">
        <v>10</v>
      </c>
      <c r="G48" s="103" t="s">
        <v>54</v>
      </c>
      <c r="H48" s="103"/>
      <c r="I48" s="67">
        <v>0.01</v>
      </c>
      <c r="J48" s="67"/>
      <c r="M48" s="84"/>
      <c r="AO48" s="8">
        <f>ROW()</f>
        <v>48</v>
      </c>
    </row>
    <row r="49" spans="2:41" ht="13.9" customHeight="1" x14ac:dyDescent="0.2">
      <c r="B49" s="110" t="s">
        <v>375</v>
      </c>
      <c r="I49" s="5"/>
      <c r="J49" s="5"/>
      <c r="AO49" s="8">
        <f>ROW()</f>
        <v>49</v>
      </c>
    </row>
    <row r="50" spans="2:41" ht="13.9" customHeight="1" x14ac:dyDescent="0.2">
      <c r="B50" t="s">
        <v>376</v>
      </c>
      <c r="K50" s="33"/>
      <c r="L50" s="33"/>
      <c r="M50" s="33">
        <f>M19*M55*(1/Parameters!$J$15)+M28/100</f>
        <v>0</v>
      </c>
      <c r="N50" s="33">
        <f>N19*N55*(1/Parameters!$J$15)+N28/100</f>
        <v>0</v>
      </c>
      <c r="O50" s="33">
        <f>O19*O55*(1/Parameters!$J$15)+O28/100</f>
        <v>0</v>
      </c>
      <c r="P50" s="33">
        <f>P19*P55*(1/Parameters!$J$15)+P28/100</f>
        <v>0.17115861582945058</v>
      </c>
      <c r="Q50" s="33">
        <f>Q19*Q55*(1/Parameters!$J$15)+Q28/100</f>
        <v>0.18815164918954863</v>
      </c>
      <c r="R50" s="33">
        <f>R19*R55*(1/Parameters!$J$15)+R28/100</f>
        <v>0.20681834871358523</v>
      </c>
      <c r="S50" s="33">
        <f>S19*S55*(1/Parameters!$J$15)+S28/100</f>
        <v>0.22732074886640735</v>
      </c>
      <c r="T50" s="33">
        <f>T19*T55*(1/Parameters!$J$15)+T28/100</f>
        <v>0.24983598479827249</v>
      </c>
      <c r="U50" s="33">
        <f>U19*U55*(1/Parameters!$J$15)+U28/100</f>
        <v>0.27455757640812295</v>
      </c>
      <c r="V50" s="33">
        <f>V19*V55*(1/Parameters!$J$15)+V28/100</f>
        <v>0.30169679517448733</v>
      </c>
      <c r="W50" s="33">
        <f>W19*W55*(1/Parameters!$J$15)+W28/100</f>
        <v>0.33148411303938508</v>
      </c>
      <c r="X50" s="33">
        <f>X19*X55*(1/Parameters!$J$15)+X28/100</f>
        <v>0.36417073086233687</v>
      </c>
      <c r="Y50" s="33">
        <f>Y19*Y55*(1/Parameters!$J$15)+Y28/100</f>
        <v>0.40003018172131255</v>
      </c>
      <c r="Z50" s="33">
        <f>Z19*Z55*(1/Parameters!$J$15)+Z28/100</f>
        <v>0.43936000153521371</v>
      </c>
      <c r="AA50" s="33">
        <f>AA19*AA55*(1/Parameters!$J$15)+AA28/100</f>
        <v>0.48248345601629783</v>
      </c>
      <c r="AB50" s="33">
        <f>AB19*AB55*(1/Parameters!$J$15)+AB28/100</f>
        <v>0.52975130871663556</v>
      </c>
      <c r="AC50" s="33">
        <f>AC19*AC55*(1/Parameters!$J$15)+AC28/100</f>
        <v>0.5815436097845772</v>
      </c>
      <c r="AD50" s="33">
        <f>AD19*AD55*(1/Parameters!$J$15)+AD28/100</f>
        <v>0.63827147885975299</v>
      </c>
      <c r="AE50" s="33">
        <f>AE19*AE55*(1/Parameters!$J$15)+AE28/100</f>
        <v>0.63827147885975299</v>
      </c>
      <c r="AF50" s="33">
        <f>AF19*AF55*(1/Parameters!$J$15)+AF28/100</f>
        <v>0.63827147885975299</v>
      </c>
      <c r="AG50" s="33">
        <f>AG19*AG55*(1/Parameters!$J$15)+AG28/100</f>
        <v>0.63827147885975299</v>
      </c>
      <c r="AH50" s="33">
        <f>AH19*AH55*(1/Parameters!$J$15)+AH28/100</f>
        <v>0.63827147885975299</v>
      </c>
      <c r="AI50" s="33">
        <f>AI19*AI55*(1/Parameters!$J$15)+AI28/100</f>
        <v>0.63827147885975299</v>
      </c>
      <c r="AJ50" s="33">
        <f>AJ19*AJ55*(1/Parameters!$J$15)+AJ28/100</f>
        <v>0.63827147885975299</v>
      </c>
      <c r="AK50" s="33">
        <f>AK19*AK55*(1/Parameters!$J$15)+AK28/100</f>
        <v>0.63827147885975299</v>
      </c>
      <c r="AL50" s="33">
        <f>AL19*AL55*(1/Parameters!$J$15)+AL28/100</f>
        <v>0.63827147885975299</v>
      </c>
      <c r="AM50" s="33"/>
      <c r="AO50" s="8">
        <f>ROW()</f>
        <v>50</v>
      </c>
    </row>
    <row r="51" spans="2:41" ht="13.9" customHeight="1" x14ac:dyDescent="0.2">
      <c r="B51" s="42" t="s">
        <v>535</v>
      </c>
      <c r="K51" s="236">
        <v>2.8490000000000002</v>
      </c>
      <c r="L51" s="237">
        <v>3.3170000000000002</v>
      </c>
      <c r="M51" s="237">
        <v>2.4009999999999998</v>
      </c>
      <c r="N51" s="237">
        <v>2.8359999999999999</v>
      </c>
      <c r="O51" s="237">
        <v>3.3</v>
      </c>
      <c r="P51" s="33">
        <f>O51*(1+$K$40)+P50</f>
        <v>3.5384043658294502</v>
      </c>
      <c r="Q51" s="33">
        <f t="shared" ref="Q51:AL51" si="3">(P51-P50)*(1+$K$40)+Q50</f>
        <v>3.6240134494601728</v>
      </c>
      <c r="R51" s="33">
        <f t="shared" si="3"/>
        <v>3.7126944228192236</v>
      </c>
      <c r="S51" s="33">
        <f t="shared" si="3"/>
        <v>3.8046378126721332</v>
      </c>
      <c r="T51" s="33">
        <f t="shared" si="3"/>
        <v>3.9000498270716992</v>
      </c>
      <c r="U51" s="33">
        <f t="shared" si="3"/>
        <v>3.9991536512524766</v>
      </c>
      <c r="V51" s="33">
        <f t="shared" si="3"/>
        <v>4.1021908265339819</v>
      </c>
      <c r="W51" s="33">
        <f t="shared" si="3"/>
        <v>4.2094227115229081</v>
      </c>
      <c r="X51" s="33">
        <f t="shared" si="3"/>
        <v>4.3211320231364576</v>
      </c>
      <c r="Y51" s="33">
        <f t="shared" si="3"/>
        <v>4.4376244527287492</v>
      </c>
      <c r="Z51" s="33">
        <f t="shared" si="3"/>
        <v>4.5592303498001039</v>
      </c>
      <c r="AA51" s="33">
        <f t="shared" si="3"/>
        <v>4.686306462302956</v>
      </c>
      <c r="AB51" s="33">
        <f t="shared" si="3"/>
        <v>4.8192377183139001</v>
      </c>
      <c r="AC51" s="33">
        <f t="shared" si="3"/>
        <v>4.9584390286934097</v>
      </c>
      <c r="AD51" s="33">
        <f t="shared" si="3"/>
        <v>5.1043570841673995</v>
      </c>
      <c r="AE51" s="33">
        <f t="shared" si="3"/>
        <v>5.1953647435895558</v>
      </c>
      <c r="AF51" s="33">
        <f t="shared" si="3"/>
        <v>5.288226911591587</v>
      </c>
      <c r="AG51" s="33">
        <f t="shared" si="3"/>
        <v>5.3829813784220795</v>
      </c>
      <c r="AH51" s="33">
        <f t="shared" si="3"/>
        <v>5.4796667044004108</v>
      </c>
      <c r="AI51" s="33">
        <f t="shared" si="3"/>
        <v>5.5783222356088649</v>
      </c>
      <c r="AJ51" s="33">
        <f t="shared" si="3"/>
        <v>5.6789881199045196</v>
      </c>
      <c r="AK51" s="33">
        <f t="shared" si="3"/>
        <v>5.7817053232574089</v>
      </c>
      <c r="AL51" s="33">
        <f t="shared" si="3"/>
        <v>5.8865156464216222</v>
      </c>
      <c r="AO51" s="8">
        <f>ROW()</f>
        <v>51</v>
      </c>
    </row>
    <row r="52" spans="2:41" ht="13.9" customHeight="1" x14ac:dyDescent="0.2">
      <c r="B52" s="480" t="str">
        <f>CONCATENATE("Historical figures from Monthly Energy Review, except that 2011 figure is Komanoff est., reduced considerably from actual $3.59 average for first 6 months. Figures beyond 2011 apply the assumed non-tax increase in diesel prices given in Cell K",AO40, " to untaxed portion of diesel price, which is calculated by subtracting previous year's tax in Row ",AO50, " from total price for that year in Row ",AO51, ".")</f>
        <v>Historical figures from Monthly Energy Review, except that 2011 figure is Komanoff est., reduced considerably from actual $3.59 average for first 6 months. Figures beyond 2011 apply the assumed non-tax increase in diesel prices given in Cell K40 to untaxed portion of diesel price, which is calculated by subtracting previous year's tax in Row 50 from total price for that year in Row 51.</v>
      </c>
      <c r="C52" s="423"/>
      <c r="D52" s="423"/>
      <c r="E52" s="423"/>
      <c r="F52" s="423"/>
      <c r="G52" s="423"/>
      <c r="H52" s="423"/>
      <c r="I52" s="423"/>
      <c r="J52" s="423"/>
      <c r="K52" s="423"/>
      <c r="L52" s="423"/>
      <c r="M52" s="423"/>
      <c r="AO52" s="8">
        <f>ROW()</f>
        <v>52</v>
      </c>
    </row>
    <row r="53" spans="2:41" ht="13.9" customHeight="1" x14ac:dyDescent="0.2">
      <c r="B53" s="423"/>
      <c r="C53" s="423"/>
      <c r="D53" s="423"/>
      <c r="E53" s="423"/>
      <c r="F53" s="423"/>
      <c r="G53" s="423"/>
      <c r="H53" s="423"/>
      <c r="I53" s="423"/>
      <c r="J53" s="423"/>
      <c r="K53" s="423"/>
      <c r="L53" s="423"/>
      <c r="M53" s="423"/>
      <c r="AO53" s="8">
        <f>ROW()</f>
        <v>53</v>
      </c>
    </row>
    <row r="54" spans="2:41" ht="13.9" customHeight="1" x14ac:dyDescent="0.2">
      <c r="B54" s="423"/>
      <c r="C54" s="423"/>
      <c r="D54" s="423"/>
      <c r="E54" s="423"/>
      <c r="F54" s="423"/>
      <c r="G54" s="423"/>
      <c r="H54" s="423"/>
      <c r="I54" s="423"/>
      <c r="J54" s="423"/>
      <c r="K54" s="423"/>
      <c r="L54" s="423"/>
      <c r="M54" s="423"/>
      <c r="AO54" s="8">
        <f>ROW()</f>
        <v>54</v>
      </c>
    </row>
    <row r="55" spans="2:41" ht="13.9" customHeight="1" x14ac:dyDescent="0.2">
      <c r="B55" t="s">
        <v>207</v>
      </c>
      <c r="K55" s="22">
        <f>K25</f>
        <v>22.456286026151631</v>
      </c>
      <c r="L55" s="7">
        <f t="shared" ref="L55:AL55" si="4">$K$55*(1-$I$48)^(L18/$F$48)</f>
        <v>22.456286026151631</v>
      </c>
      <c r="M55" s="7">
        <f t="shared" si="4"/>
        <v>22.456286026151631</v>
      </c>
      <c r="N55" s="7">
        <f t="shared" si="4"/>
        <v>22.456286026151631</v>
      </c>
      <c r="O55" s="7">
        <f t="shared" si="4"/>
        <v>22.456286026151631</v>
      </c>
      <c r="P55" s="7">
        <f t="shared" si="4"/>
        <v>22.231723165890113</v>
      </c>
      <c r="Q55" s="7">
        <f t="shared" si="4"/>
        <v>22.20939076173611</v>
      </c>
      <c r="R55" s="7">
        <f t="shared" si="4"/>
        <v>22.184851027038878</v>
      </c>
      <c r="S55" s="7">
        <f t="shared" si="4"/>
        <v>22.157888635072467</v>
      </c>
      <c r="T55" s="7">
        <f t="shared" si="4"/>
        <v>22.128267850320661</v>
      </c>
      <c r="U55" s="7">
        <f t="shared" si="4"/>
        <v>22.095730719849339</v>
      </c>
      <c r="V55" s="7">
        <f t="shared" si="4"/>
        <v>22.059995131354459</v>
      </c>
      <c r="W55" s="7">
        <f t="shared" si="4"/>
        <v>22.020752734133126</v>
      </c>
      <c r="X55" s="7">
        <f t="shared" si="4"/>
        <v>21.977666720730522</v>
      </c>
      <c r="Y55" s="7">
        <f t="shared" si="4"/>
        <v>21.930369469024178</v>
      </c>
      <c r="Z55" s="7">
        <f t="shared" si="4"/>
        <v>21.878460047130059</v>
      </c>
      <c r="AA55" s="7">
        <f t="shared" si="4"/>
        <v>21.821501586882203</v>
      </c>
      <c r="AB55" s="7">
        <f t="shared" si="4"/>
        <v>21.759018535902623</v>
      </c>
      <c r="AC55" s="7">
        <f t="shared" si="4"/>
        <v>21.690493803616793</v>
      </c>
      <c r="AD55" s="7">
        <f t="shared" si="4"/>
        <v>21.615365823187041</v>
      </c>
      <c r="AE55" s="7">
        <f t="shared" si="4"/>
        <v>21.615365823187041</v>
      </c>
      <c r="AF55" s="7">
        <f t="shared" si="4"/>
        <v>21.615365823187041</v>
      </c>
      <c r="AG55" s="7">
        <f t="shared" si="4"/>
        <v>21.615365823187041</v>
      </c>
      <c r="AH55" s="7">
        <f t="shared" si="4"/>
        <v>21.615365823187041</v>
      </c>
      <c r="AI55" s="7">
        <f t="shared" si="4"/>
        <v>21.615365823187041</v>
      </c>
      <c r="AJ55" s="7">
        <f t="shared" si="4"/>
        <v>21.615365823187041</v>
      </c>
      <c r="AK55" s="7">
        <f t="shared" si="4"/>
        <v>21.615365823187041</v>
      </c>
      <c r="AL55" s="7">
        <f t="shared" si="4"/>
        <v>21.615365823187041</v>
      </c>
      <c r="AO55" s="8">
        <f>ROW()</f>
        <v>55</v>
      </c>
    </row>
    <row r="56" spans="2:41" ht="13.9" customHeight="1" x14ac:dyDescent="0.2">
      <c r="B56" s="110" t="str">
        <f>CONCATENATE("Figures reduce baseline emission factor by a percentage calculated from Cell I",AO48, " normalized by Cell F",AO48, ".")</f>
        <v>Figures reduce baseline emission factor by a percentage calculated from Cell I48 normalized by Cell F48.</v>
      </c>
      <c r="C56" s="9"/>
      <c r="D56" s="9"/>
      <c r="E56" s="9"/>
      <c r="F56" s="9"/>
      <c r="G56" s="9"/>
      <c r="H56" s="9"/>
      <c r="K56" s="35"/>
      <c r="L56" s="35"/>
      <c r="M56" s="84"/>
      <c r="AO56" s="8">
        <f>ROW()</f>
        <v>56</v>
      </c>
    </row>
    <row r="57" spans="2:41" s="9" customFormat="1" ht="13.9" customHeight="1" x14ac:dyDescent="0.2">
      <c r="I57" s="26"/>
      <c r="J57" s="26"/>
      <c r="K57" s="14">
        <f t="shared" ref="K57:P57" si="5">K7</f>
        <v>2007</v>
      </c>
      <c r="L57" s="14">
        <f t="shared" si="5"/>
        <v>2008</v>
      </c>
      <c r="M57" s="14">
        <f t="shared" si="5"/>
        <v>2009</v>
      </c>
      <c r="N57" s="14">
        <f t="shared" si="5"/>
        <v>2010</v>
      </c>
      <c r="O57" s="14">
        <f t="shared" si="5"/>
        <v>2011</v>
      </c>
      <c r="P57" s="14">
        <f t="shared" si="5"/>
        <v>2012</v>
      </c>
      <c r="Q57" s="14">
        <f t="shared" ref="Q57:AL57" si="6">Q7</f>
        <v>2013</v>
      </c>
      <c r="R57" s="14">
        <f t="shared" si="6"/>
        <v>2014</v>
      </c>
      <c r="S57" s="14">
        <f t="shared" si="6"/>
        <v>2015</v>
      </c>
      <c r="T57" s="14">
        <f t="shared" si="6"/>
        <v>2016</v>
      </c>
      <c r="U57" s="14">
        <f t="shared" si="6"/>
        <v>2017</v>
      </c>
      <c r="V57" s="14">
        <f t="shared" si="6"/>
        <v>2018</v>
      </c>
      <c r="W57" s="14">
        <f t="shared" si="6"/>
        <v>2019</v>
      </c>
      <c r="X57" s="14">
        <f t="shared" si="6"/>
        <v>2020</v>
      </c>
      <c r="Y57" s="14">
        <f t="shared" si="6"/>
        <v>2021</v>
      </c>
      <c r="Z57" s="14">
        <f t="shared" si="6"/>
        <v>2022</v>
      </c>
      <c r="AA57" s="14">
        <f t="shared" si="6"/>
        <v>2023</v>
      </c>
      <c r="AB57" s="14">
        <f t="shared" si="6"/>
        <v>2024</v>
      </c>
      <c r="AC57" s="14">
        <f t="shared" si="6"/>
        <v>2025</v>
      </c>
      <c r="AD57" s="14">
        <f t="shared" si="6"/>
        <v>2026</v>
      </c>
      <c r="AE57" s="14">
        <f t="shared" si="6"/>
        <v>2027</v>
      </c>
      <c r="AF57" s="14">
        <f t="shared" si="6"/>
        <v>2028</v>
      </c>
      <c r="AG57" s="14">
        <f t="shared" si="6"/>
        <v>2029</v>
      </c>
      <c r="AH57" s="14">
        <f t="shared" si="6"/>
        <v>2030</v>
      </c>
      <c r="AI57" s="14">
        <f t="shared" si="6"/>
        <v>2031</v>
      </c>
      <c r="AJ57" s="14">
        <f t="shared" si="6"/>
        <v>2032</v>
      </c>
      <c r="AK57" s="14">
        <f t="shared" si="6"/>
        <v>2033</v>
      </c>
      <c r="AL57" s="14">
        <f t="shared" si="6"/>
        <v>2034</v>
      </c>
      <c r="AM57" s="27"/>
      <c r="AO57" s="8">
        <f>ROW()</f>
        <v>57</v>
      </c>
    </row>
    <row r="58" spans="2:41" s="9" customFormat="1" ht="13.9" customHeight="1" x14ac:dyDescent="0.2">
      <c r="B58" s="9" t="s">
        <v>559</v>
      </c>
      <c r="I58" s="26"/>
      <c r="J58" s="26"/>
      <c r="M58" s="135"/>
      <c r="N58" s="457" t="str">
        <f>CONCATENATE("Initial row in this block is derived through a calculation on Row ",AO126, ". Remaining rows employ Rows ",AO17, ", ",AO18,",  ",AO31,", ",AO42, ", ",AO46, ", and ",AO55, ".")</f>
        <v>Initial row in this block is derived through a calculation on Row 126. Remaining rows employ Rows 17, 18,  31, 42, 46, and 55.</v>
      </c>
      <c r="O58" s="477"/>
      <c r="P58" s="27">
        <f t="shared" ref="P58:AL58" si="7">P126*P42</f>
        <v>-412.67375790951951</v>
      </c>
      <c r="Q58" s="27">
        <f t="shared" si="7"/>
        <v>-872.59909067984063</v>
      </c>
      <c r="R58" s="27">
        <f t="shared" si="7"/>
        <v>-1379.9140788309419</v>
      </c>
      <c r="S58" s="27">
        <f t="shared" si="7"/>
        <v>-1934.6536480425996</v>
      </c>
      <c r="T58" s="27">
        <f t="shared" si="7"/>
        <v>-2536.7478609868467</v>
      </c>
      <c r="U58" s="27">
        <f t="shared" si="7"/>
        <v>-3186.0203501024671</v>
      </c>
      <c r="V58" s="27">
        <f t="shared" si="7"/>
        <v>-3882.186879412408</v>
      </c>
      <c r="W58" s="27">
        <f t="shared" si="7"/>
        <v>-4624.8540243119978</v>
      </c>
      <c r="X58" s="27">
        <f t="shared" si="7"/>
        <v>-5413.5179598809273</v>
      </c>
      <c r="Y58" s="27">
        <f t="shared" si="7"/>
        <v>-6247.5633507990051</v>
      </c>
      <c r="Z58" s="27">
        <f t="shared" si="7"/>
        <v>-6742.8224569368176</v>
      </c>
      <c r="AA58" s="27">
        <f t="shared" si="7"/>
        <v>-7246.2837785976617</v>
      </c>
      <c r="AB58" s="27">
        <f t="shared" si="7"/>
        <v>-7758.269998795744</v>
      </c>
      <c r="AC58" s="27">
        <f t="shared" si="7"/>
        <v>-8278.2211832407902</v>
      </c>
      <c r="AD58" s="27">
        <f t="shared" si="7"/>
        <v>-8805.5506412690138</v>
      </c>
      <c r="AE58" s="27">
        <f t="shared" si="7"/>
        <v>-9339.644760262976</v>
      </c>
      <c r="AF58" s="27">
        <f t="shared" si="7"/>
        <v>-9879.8628798499321</v>
      </c>
      <c r="AG58" s="27">
        <f t="shared" si="7"/>
        <v>-10425.537212944415</v>
      </c>
      <c r="AH58" s="27">
        <f t="shared" si="7"/>
        <v>-10975.972821720852</v>
      </c>
      <c r="AI58" s="27">
        <f t="shared" si="7"/>
        <v>-11530.447657720097</v>
      </c>
      <c r="AJ58" s="27">
        <f t="shared" si="7"/>
        <v>-12088.212676515852</v>
      </c>
      <c r="AK58" s="27">
        <f t="shared" si="7"/>
        <v>-12648.492038696582</v>
      </c>
      <c r="AL58" s="27">
        <f t="shared" si="7"/>
        <v>-13210.483410358482</v>
      </c>
      <c r="AM58" s="27"/>
      <c r="AO58" s="8">
        <f>ROW()</f>
        <v>58</v>
      </c>
    </row>
    <row r="59" spans="2:41" s="9" customFormat="1" ht="13.9" customHeight="1" x14ac:dyDescent="0.2">
      <c r="B59" s="9" t="s">
        <v>377</v>
      </c>
      <c r="M59" s="137"/>
      <c r="N59" s="478"/>
      <c r="O59" s="479"/>
      <c r="P59" s="27">
        <f>P42+P58</f>
        <v>47401.120328602148</v>
      </c>
      <c r="Q59" s="27">
        <f t="shared" ref="Q59:AL59" si="8">Q42+Q58</f>
        <v>47266.613944838522</v>
      </c>
      <c r="R59" s="27">
        <f t="shared" si="8"/>
        <v>47086.9326952626</v>
      </c>
      <c r="S59" s="27">
        <f t="shared" si="8"/>
        <v>46862.056727972122</v>
      </c>
      <c r="T59" s="27">
        <f t="shared" si="8"/>
        <v>46592.071156664126</v>
      </c>
      <c r="U59" s="27">
        <f t="shared" si="8"/>
        <v>46277.167628558745</v>
      </c>
      <c r="V59" s="27">
        <f t="shared" si="8"/>
        <v>45917.645763284723</v>
      </c>
      <c r="W59" s="27">
        <f t="shared" si="8"/>
        <v>45513.914473799035</v>
      </c>
      <c r="X59" s="27">
        <f t="shared" si="8"/>
        <v>45066.49317878743</v>
      </c>
      <c r="Y59" s="27">
        <f t="shared" si="8"/>
        <v>44576.012913466147</v>
      </c>
      <c r="Z59" s="27">
        <f t="shared" si="8"/>
        <v>44426.657224713577</v>
      </c>
      <c r="AA59" s="27">
        <f t="shared" si="8"/>
        <v>44271.453526555561</v>
      </c>
      <c r="AB59" s="27">
        <f t="shared" si="8"/>
        <v>44110.09515861937</v>
      </c>
      <c r="AC59" s="27">
        <f t="shared" si="8"/>
        <v>43943.158186886278</v>
      </c>
      <c r="AD59" s="27">
        <f t="shared" si="8"/>
        <v>43771.24554350278</v>
      </c>
      <c r="AE59" s="27">
        <f t="shared" si="8"/>
        <v>43594.987193107954</v>
      </c>
      <c r="AF59" s="27">
        <f t="shared" si="8"/>
        <v>43415.040259387461</v>
      </c>
      <c r="AG59" s="27">
        <f t="shared" si="8"/>
        <v>43232.089104788385</v>
      </c>
      <c r="AH59" s="27">
        <f t="shared" si="8"/>
        <v>43046.845355309226</v>
      </c>
      <c r="AI59" s="27">
        <f t="shared" si="8"/>
        <v>42860.047861161176</v>
      </c>
      <c r="AJ59" s="27">
        <f t="shared" si="8"/>
        <v>42672.462582874679</v>
      </c>
      <c r="AK59" s="27">
        <f t="shared" si="8"/>
        <v>42484.882391095802</v>
      </c>
      <c r="AL59" s="27">
        <f t="shared" si="8"/>
        <v>42298.126766876856</v>
      </c>
      <c r="AM59" s="27"/>
      <c r="AO59" s="8">
        <f>ROW()</f>
        <v>59</v>
      </c>
    </row>
    <row r="60" spans="2:41" s="9" customFormat="1" ht="13.9" customHeight="1" x14ac:dyDescent="0.2">
      <c r="B60" s="9" t="s">
        <v>554</v>
      </c>
      <c r="I60" s="26"/>
      <c r="J60" s="26"/>
      <c r="M60" s="179"/>
      <c r="N60" s="478"/>
      <c r="O60" s="479"/>
      <c r="P60" s="27">
        <f>P59*P55/Parameters!$J$15</f>
        <v>477.91772557756423</v>
      </c>
      <c r="Q60" s="27">
        <f>Q59*Q55/Parameters!$J$15</f>
        <v>476.08285672791101</v>
      </c>
      <c r="R60" s="27">
        <f>R59*R55/Parameters!$J$15</f>
        <v>473.74901912227074</v>
      </c>
      <c r="S60" s="27">
        <f>S59*S55/Parameters!$J$15</f>
        <v>470.91348489290465</v>
      </c>
      <c r="T60" s="27">
        <f>T59*T55/Parameters!$J$15</f>
        <v>467.57452619313534</v>
      </c>
      <c r="U60" s="27">
        <f>U59*U55/Parameters!$J$15</f>
        <v>463.73144417141174</v>
      </c>
      <c r="V60" s="27">
        <f>V59*V55/Parameters!$J$15</f>
        <v>459.38459953801345</v>
      </c>
      <c r="W60" s="27">
        <f>W59*W55/Parameters!$J$15</f>
        <v>454.53544516553802</v>
      </c>
      <c r="X60" s="27">
        <f>X59*X55/Parameters!$J$15</f>
        <v>449.18656115894129</v>
      </c>
      <c r="Y60" s="27">
        <f>Y59*Y55/Parameters!$J$15</f>
        <v>443.34169281102294</v>
      </c>
      <c r="Z60" s="27">
        <f>Z59*Z55/Parameters!$J$15</f>
        <v>440.81036059793109</v>
      </c>
      <c r="AA60" s="27">
        <f>AA59*AA55/Parameters!$J$15</f>
        <v>438.12679972032373</v>
      </c>
      <c r="AB60" s="27">
        <f>AB59*AB55/Parameters!$J$15</f>
        <v>435.27999010286959</v>
      </c>
      <c r="AC60" s="27">
        <f>AC59*AC55/Parameters!$J$15</f>
        <v>432.26702964354166</v>
      </c>
      <c r="AD60" s="27">
        <f>AD59*AD55/Parameters!$J$15</f>
        <v>429.08457367771342</v>
      </c>
      <c r="AE60" s="27">
        <f>AE59*AE55/Parameters!$J$15</f>
        <v>427.35673298693081</v>
      </c>
      <c r="AF60" s="27">
        <f>AF59*AF55/Parameters!$J$15</f>
        <v>425.59273353063639</v>
      </c>
      <c r="AG60" s="27">
        <f>AG59*AG55/Parameters!$J$15</f>
        <v>423.79928403656226</v>
      </c>
      <c r="AH60" s="27">
        <f>AH59*AH55/Parameters!$J$15</f>
        <v>421.98336049395414</v>
      </c>
      <c r="AI60" s="27">
        <f>AI59*AI55/Parameters!$J$15</f>
        <v>420.15220576793837</v>
      </c>
      <c r="AJ60" s="27">
        <f>AJ59*AJ55/Parameters!$J$15</f>
        <v>418.31332848303725</v>
      </c>
      <c r="AK60" s="27">
        <f>AK59*AK55/Parameters!$J$15</f>
        <v>416.47450106059551</v>
      </c>
      <c r="AL60" s="27">
        <f>AL59*AL55/Parameters!$J$15</f>
        <v>414.64375678076328</v>
      </c>
      <c r="AO60" s="8">
        <f>ROW()</f>
        <v>60</v>
      </c>
    </row>
    <row r="61" spans="2:41" s="9" customFormat="1" ht="13.9" customHeight="1" x14ac:dyDescent="0.2">
      <c r="B61" s="9" t="s">
        <v>587</v>
      </c>
      <c r="I61" s="26"/>
      <c r="J61" s="26"/>
      <c r="M61" s="179"/>
      <c r="N61" s="478"/>
      <c r="O61" s="479"/>
      <c r="P61" s="28">
        <f t="shared" ref="P61:AL61" si="9">P60-P46</f>
        <v>-9.0302272579112923</v>
      </c>
      <c r="Q61" s="28">
        <f t="shared" si="9"/>
        <v>-14.179246219684217</v>
      </c>
      <c r="R61" s="28">
        <f t="shared" si="9"/>
        <v>-19.849789922948787</v>
      </c>
      <c r="S61" s="28">
        <f t="shared" si="9"/>
        <v>-26.044739750663496</v>
      </c>
      <c r="T61" s="28">
        <f t="shared" si="9"/>
        <v>-32.765978109543994</v>
      </c>
      <c r="U61" s="28">
        <f t="shared" si="9"/>
        <v>-40.014359463110338</v>
      </c>
      <c r="V61" s="28">
        <f t="shared" si="9"/>
        <v>-47.789679772140516</v>
      </c>
      <c r="W61" s="28">
        <f t="shared" si="9"/>
        <v>-56.090643901392752</v>
      </c>
      <c r="X61" s="28">
        <f t="shared" si="9"/>
        <v>-64.914830556821414</v>
      </c>
      <c r="Y61" s="28">
        <f t="shared" si="9"/>
        <v>-74.258654337398468</v>
      </c>
      <c r="Z61" s="28">
        <f t="shared" si="9"/>
        <v>-80.312755746964854</v>
      </c>
      <c r="AA61" s="28">
        <f t="shared" si="9"/>
        <v>-86.543061660475757</v>
      </c>
      <c r="AB61" s="28">
        <f t="shared" si="9"/>
        <v>-92.960755331956364</v>
      </c>
      <c r="AC61" s="28">
        <f t="shared" si="9"/>
        <v>-99.568903152715677</v>
      </c>
      <c r="AD61" s="28">
        <f t="shared" si="9"/>
        <v>-106.37101519480956</v>
      </c>
      <c r="AE61" s="28">
        <f t="shared" si="9"/>
        <v>-111.74314720987792</v>
      </c>
      <c r="AF61" s="28">
        <f t="shared" si="9"/>
        <v>-117.17624090508315</v>
      </c>
      <c r="AG61" s="28">
        <f t="shared" si="9"/>
        <v>-122.66375636043057</v>
      </c>
      <c r="AH61" s="28">
        <f t="shared" si="9"/>
        <v>-128.19888754331157</v>
      </c>
      <c r="AI61" s="28">
        <f t="shared" si="9"/>
        <v>-133.77456270195574</v>
      </c>
      <c r="AJ61" s="28">
        <f t="shared" si="9"/>
        <v>-139.38344548978762</v>
      </c>
      <c r="AK61" s="28">
        <f t="shared" si="9"/>
        <v>-145.01793693592714</v>
      </c>
      <c r="AL61" s="28">
        <f t="shared" si="9"/>
        <v>-150.67017839118591</v>
      </c>
      <c r="AO61" s="8">
        <f>ROW()</f>
        <v>61</v>
      </c>
    </row>
    <row r="62" spans="2:41" s="9" customFormat="1" ht="13.9" customHeight="1" x14ac:dyDescent="0.2">
      <c r="B62" s="9" t="s">
        <v>588</v>
      </c>
      <c r="I62" s="26"/>
      <c r="J62" s="26"/>
      <c r="M62" s="179"/>
      <c r="N62" s="478"/>
      <c r="O62" s="479"/>
      <c r="P62" s="28">
        <f>P60-$M$46</f>
        <v>24.396710189442103</v>
      </c>
      <c r="Q62" s="28">
        <f t="shared" ref="Q62:AL62" si="10">Q60-$M$46</f>
        <v>22.561841339788884</v>
      </c>
      <c r="R62" s="28">
        <f t="shared" si="10"/>
        <v>20.228003734148615</v>
      </c>
      <c r="S62" s="28">
        <f t="shared" si="10"/>
        <v>17.392469504782525</v>
      </c>
      <c r="T62" s="28">
        <f t="shared" si="10"/>
        <v>14.053510805013218</v>
      </c>
      <c r="U62" s="28">
        <f t="shared" si="10"/>
        <v>10.210428783289615</v>
      </c>
      <c r="V62" s="28">
        <f t="shared" si="10"/>
        <v>5.8635841498913237</v>
      </c>
      <c r="W62" s="28">
        <f t="shared" si="10"/>
        <v>1.0144297774158986</v>
      </c>
      <c r="X62" s="28">
        <f t="shared" si="10"/>
        <v>-4.3344542291808352</v>
      </c>
      <c r="Y62" s="28">
        <f t="shared" si="10"/>
        <v>-10.179322577099185</v>
      </c>
      <c r="Z62" s="28">
        <f t="shared" si="10"/>
        <v>-12.710654790191029</v>
      </c>
      <c r="AA62" s="28">
        <f t="shared" si="10"/>
        <v>-15.394215667798392</v>
      </c>
      <c r="AB62" s="28">
        <f t="shared" si="10"/>
        <v>-18.241025285252533</v>
      </c>
      <c r="AC62" s="28">
        <f t="shared" si="10"/>
        <v>-21.253985744580461</v>
      </c>
      <c r="AD62" s="28">
        <f t="shared" si="10"/>
        <v>-24.436441710408701</v>
      </c>
      <c r="AE62" s="28">
        <f t="shared" si="10"/>
        <v>-26.164282401191315</v>
      </c>
      <c r="AF62" s="28">
        <f t="shared" si="10"/>
        <v>-27.928281857485729</v>
      </c>
      <c r="AG62" s="28">
        <f t="shared" si="10"/>
        <v>-29.721731351559868</v>
      </c>
      <c r="AH62" s="28">
        <f t="shared" si="10"/>
        <v>-31.537654894167986</v>
      </c>
      <c r="AI62" s="28">
        <f t="shared" si="10"/>
        <v>-33.368809620183754</v>
      </c>
      <c r="AJ62" s="28">
        <f t="shared" si="10"/>
        <v>-35.20768690508487</v>
      </c>
      <c r="AK62" s="28">
        <f t="shared" si="10"/>
        <v>-37.046514327526609</v>
      </c>
      <c r="AL62" s="28">
        <f t="shared" si="10"/>
        <v>-38.87725860735884</v>
      </c>
      <c r="AO62" s="8">
        <f>ROW()</f>
        <v>62</v>
      </c>
    </row>
    <row r="63" spans="2:41" s="9" customFormat="1" ht="13.9" customHeight="1" x14ac:dyDescent="0.2">
      <c r="B63" s="9" t="s">
        <v>665</v>
      </c>
      <c r="I63" s="26"/>
      <c r="J63" s="26"/>
      <c r="M63" s="179"/>
      <c r="N63" s="478"/>
      <c r="O63" s="479"/>
      <c r="P63" s="378">
        <f>ROUND(P60*P18,-2)/1000</f>
        <v>4.8</v>
      </c>
      <c r="Q63" s="378">
        <f t="shared" ref="Q63:AL63" si="11">ROUND(Q60*Q18,-2)/1000</f>
        <v>5.2</v>
      </c>
      <c r="R63" s="378">
        <f t="shared" si="11"/>
        <v>5.7</v>
      </c>
      <c r="S63" s="378">
        <f t="shared" si="11"/>
        <v>6.3</v>
      </c>
      <c r="T63" s="378">
        <f t="shared" si="11"/>
        <v>6.8</v>
      </c>
      <c r="U63" s="378">
        <f t="shared" si="11"/>
        <v>7.5</v>
      </c>
      <c r="V63" s="378">
        <f t="shared" si="11"/>
        <v>8.1</v>
      </c>
      <c r="W63" s="378">
        <f t="shared" si="11"/>
        <v>8.9</v>
      </c>
      <c r="X63" s="378">
        <f t="shared" si="11"/>
        <v>9.6</v>
      </c>
      <c r="Y63" s="378">
        <f t="shared" si="11"/>
        <v>10.5</v>
      </c>
      <c r="Z63" s="378">
        <f t="shared" si="11"/>
        <v>11.4</v>
      </c>
      <c r="AA63" s="378">
        <f t="shared" si="11"/>
        <v>12.5</v>
      </c>
      <c r="AB63" s="378">
        <f t="shared" si="11"/>
        <v>13.7</v>
      </c>
      <c r="AC63" s="378">
        <f t="shared" si="11"/>
        <v>14.9</v>
      </c>
      <c r="AD63" s="378">
        <f t="shared" si="11"/>
        <v>16.3</v>
      </c>
      <c r="AE63" s="378">
        <f t="shared" si="11"/>
        <v>16.2</v>
      </c>
      <c r="AF63" s="378">
        <f t="shared" si="11"/>
        <v>16.2</v>
      </c>
      <c r="AG63" s="378">
        <f t="shared" si="11"/>
        <v>16.100000000000001</v>
      </c>
      <c r="AH63" s="378">
        <f t="shared" si="11"/>
        <v>16</v>
      </c>
      <c r="AI63" s="378">
        <f t="shared" si="11"/>
        <v>16</v>
      </c>
      <c r="AJ63" s="378">
        <f t="shared" si="11"/>
        <v>15.9</v>
      </c>
      <c r="AK63" s="378">
        <f t="shared" si="11"/>
        <v>15.8</v>
      </c>
      <c r="AL63" s="378">
        <f t="shared" si="11"/>
        <v>15.7</v>
      </c>
      <c r="AM63" s="27"/>
      <c r="AO63" s="8">
        <f>ROW()</f>
        <v>63</v>
      </c>
    </row>
    <row r="64" spans="2:41" s="9" customFormat="1" ht="13.9" customHeight="1" x14ac:dyDescent="0.2">
      <c r="B64" s="9" t="s">
        <v>663</v>
      </c>
      <c r="I64" s="26"/>
      <c r="J64" s="26"/>
      <c r="M64" s="179"/>
      <c r="N64" s="478"/>
      <c r="O64" s="479"/>
      <c r="P64" s="378">
        <f>ROUND(P59*$J$28*P17/100,-2)/1000</f>
        <v>2.8</v>
      </c>
      <c r="Q64" s="378">
        <f t="shared" ref="Q64:AL64" si="12">ROUND(Q59*$J$28*Q17/100,-2)/1000</f>
        <v>5.7</v>
      </c>
      <c r="R64" s="378">
        <f t="shared" si="12"/>
        <v>8.5</v>
      </c>
      <c r="S64" s="378">
        <f t="shared" si="12"/>
        <v>11.2</v>
      </c>
      <c r="T64" s="378">
        <f t="shared" si="12"/>
        <v>14</v>
      </c>
      <c r="U64" s="378">
        <f t="shared" si="12"/>
        <v>16.7</v>
      </c>
      <c r="V64" s="378">
        <f t="shared" si="12"/>
        <v>19.3</v>
      </c>
      <c r="W64" s="378">
        <f t="shared" si="12"/>
        <v>21.8</v>
      </c>
      <c r="X64" s="378">
        <f t="shared" si="12"/>
        <v>24.3</v>
      </c>
      <c r="Y64" s="378">
        <f t="shared" si="12"/>
        <v>26.7</v>
      </c>
      <c r="Z64" s="378">
        <f t="shared" si="12"/>
        <v>29.3</v>
      </c>
      <c r="AA64" s="378">
        <f t="shared" si="12"/>
        <v>31.9</v>
      </c>
      <c r="AB64" s="378">
        <f t="shared" si="12"/>
        <v>34.4</v>
      </c>
      <c r="AC64" s="378">
        <f t="shared" si="12"/>
        <v>36.9</v>
      </c>
      <c r="AD64" s="378">
        <f t="shared" si="12"/>
        <v>39.4</v>
      </c>
      <c r="AE64" s="378">
        <f t="shared" si="12"/>
        <v>39.200000000000003</v>
      </c>
      <c r="AF64" s="378">
        <f t="shared" si="12"/>
        <v>39.1</v>
      </c>
      <c r="AG64" s="378">
        <f t="shared" si="12"/>
        <v>38.9</v>
      </c>
      <c r="AH64" s="378">
        <f t="shared" si="12"/>
        <v>38.700000000000003</v>
      </c>
      <c r="AI64" s="378">
        <f t="shared" si="12"/>
        <v>38.6</v>
      </c>
      <c r="AJ64" s="378">
        <f t="shared" si="12"/>
        <v>38.4</v>
      </c>
      <c r="AK64" s="378">
        <f t="shared" si="12"/>
        <v>38.200000000000003</v>
      </c>
      <c r="AL64" s="378">
        <f t="shared" si="12"/>
        <v>38.1</v>
      </c>
      <c r="AO64" s="8">
        <f>ROW()</f>
        <v>64</v>
      </c>
    </row>
    <row r="65" spans="1:41" s="9" customFormat="1" ht="13.9" customHeight="1" x14ac:dyDescent="0.2">
      <c r="B65" s="9" t="s">
        <v>664</v>
      </c>
      <c r="I65" s="26"/>
      <c r="J65" s="26"/>
      <c r="M65" s="179"/>
      <c r="N65" s="461"/>
      <c r="O65" s="462"/>
      <c r="P65" s="378">
        <f>P63+P64</f>
        <v>7.6</v>
      </c>
      <c r="Q65" s="378">
        <f t="shared" ref="Q65:AL65" si="13">Q63+Q64</f>
        <v>10.9</v>
      </c>
      <c r="R65" s="378">
        <f t="shared" si="13"/>
        <v>14.2</v>
      </c>
      <c r="S65" s="378">
        <f t="shared" si="13"/>
        <v>17.5</v>
      </c>
      <c r="T65" s="378">
        <f t="shared" si="13"/>
        <v>20.8</v>
      </c>
      <c r="U65" s="378">
        <f t="shared" si="13"/>
        <v>24.2</v>
      </c>
      <c r="V65" s="378">
        <f t="shared" si="13"/>
        <v>27.4</v>
      </c>
      <c r="W65" s="378">
        <f t="shared" si="13"/>
        <v>30.700000000000003</v>
      </c>
      <c r="X65" s="378">
        <f t="shared" si="13"/>
        <v>33.9</v>
      </c>
      <c r="Y65" s="378">
        <f t="shared" si="13"/>
        <v>37.200000000000003</v>
      </c>
      <c r="Z65" s="378">
        <f t="shared" si="13"/>
        <v>40.700000000000003</v>
      </c>
      <c r="AA65" s="378">
        <f t="shared" si="13"/>
        <v>44.4</v>
      </c>
      <c r="AB65" s="378">
        <f t="shared" si="13"/>
        <v>48.099999999999994</v>
      </c>
      <c r="AC65" s="378">
        <f t="shared" si="13"/>
        <v>51.8</v>
      </c>
      <c r="AD65" s="378">
        <f t="shared" si="13"/>
        <v>55.7</v>
      </c>
      <c r="AE65" s="378">
        <f t="shared" si="13"/>
        <v>55.400000000000006</v>
      </c>
      <c r="AF65" s="378">
        <f t="shared" si="13"/>
        <v>55.3</v>
      </c>
      <c r="AG65" s="378">
        <f t="shared" si="13"/>
        <v>55</v>
      </c>
      <c r="AH65" s="378">
        <f t="shared" si="13"/>
        <v>54.7</v>
      </c>
      <c r="AI65" s="378">
        <f t="shared" si="13"/>
        <v>54.6</v>
      </c>
      <c r="AJ65" s="378">
        <f t="shared" si="13"/>
        <v>54.3</v>
      </c>
      <c r="AK65" s="378">
        <f t="shared" si="13"/>
        <v>54</v>
      </c>
      <c r="AL65" s="378">
        <f t="shared" si="13"/>
        <v>53.8</v>
      </c>
      <c r="AM65" s="27"/>
      <c r="AO65" s="8">
        <f>ROW()</f>
        <v>65</v>
      </c>
    </row>
    <row r="66" spans="1:41" s="9" customFormat="1" ht="13.9" customHeight="1" x14ac:dyDescent="0.2">
      <c r="A66"/>
      <c r="I66" s="26"/>
      <c r="J66" s="26"/>
      <c r="M66" s="179"/>
      <c r="N66" s="179"/>
      <c r="O66" s="179"/>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O66" s="8">
        <f>ROW()</f>
        <v>66</v>
      </c>
    </row>
    <row r="67" spans="1:41" ht="13.9" customHeight="1" x14ac:dyDescent="0.2">
      <c r="B67" t="s">
        <v>378</v>
      </c>
      <c r="K67" s="16"/>
      <c r="L67" s="16"/>
      <c r="M67" s="84"/>
      <c r="P67" s="16">
        <f>P51/K51-1</f>
        <v>0.24198117438731126</v>
      </c>
      <c r="Q67" s="16">
        <f t="shared" ref="Q67:AL67" si="14">Q51/P51-1</f>
        <v>2.4194262379239051E-2</v>
      </c>
      <c r="R67" s="16">
        <f t="shared" si="14"/>
        <v>2.4470376447488285E-2</v>
      </c>
      <c r="S67" s="16">
        <f t="shared" si="14"/>
        <v>2.4764599339983651E-2</v>
      </c>
      <c r="T67" s="16">
        <f t="shared" si="14"/>
        <v>2.5077817941507208E-2</v>
      </c>
      <c r="U67" s="16">
        <f t="shared" si="14"/>
        <v>2.5410912315237733E-2</v>
      </c>
      <c r="V67" s="16">
        <f t="shared" si="14"/>
        <v>2.5764745310357329E-2</v>
      </c>
      <c r="W67" s="16">
        <f t="shared" si="14"/>
        <v>2.6140150354616365E-2</v>
      </c>
      <c r="X67" s="16">
        <f t="shared" si="14"/>
        <v>2.6537917255911481E-2</v>
      </c>
      <c r="Y67" s="16">
        <f t="shared" si="14"/>
        <v>2.6958775841275262E-2</v>
      </c>
      <c r="Z67" s="16">
        <f t="shared" si="14"/>
        <v>2.7403377272400276E-2</v>
      </c>
      <c r="AA67" s="16">
        <f t="shared" si="14"/>
        <v>2.7872272895451244E-2</v>
      </c>
      <c r="AB67" s="16">
        <f t="shared" si="14"/>
        <v>2.8365890511056868E-2</v>
      </c>
      <c r="AC67" s="16">
        <f t="shared" si="14"/>
        <v>2.8884507989826114E-2</v>
      </c>
      <c r="AD67" s="16">
        <f t="shared" si="14"/>
        <v>2.9428224211207166E-2</v>
      </c>
      <c r="AE67" s="16">
        <f t="shared" si="14"/>
        <v>1.7829406901104683E-2</v>
      </c>
      <c r="AF67" s="16">
        <f t="shared" si="14"/>
        <v>1.7874042071177376E-2</v>
      </c>
      <c r="AG67" s="16">
        <f t="shared" si="14"/>
        <v>1.791800322009518E-2</v>
      </c>
      <c r="AH67" s="16">
        <f t="shared" si="14"/>
        <v>1.7961296757573519E-2</v>
      </c>
      <c r="AI67" s="16">
        <f t="shared" si="14"/>
        <v>1.8003929167668131E-2</v>
      </c>
      <c r="AJ67" s="16">
        <f t="shared" si="14"/>
        <v>1.8045907002836925E-2</v>
      </c>
      <c r="AK67" s="16">
        <f t="shared" si="14"/>
        <v>1.8087236878145951E-2</v>
      </c>
      <c r="AL67" s="16">
        <f t="shared" si="14"/>
        <v>1.812792546562414E-2</v>
      </c>
      <c r="AO67" s="8">
        <f>ROW()</f>
        <v>67</v>
      </c>
    </row>
    <row r="68" spans="1:41" ht="13.9" customHeight="1" x14ac:dyDescent="0.2">
      <c r="M68" s="84"/>
      <c r="AO68" s="8">
        <f>ROW()</f>
        <v>68</v>
      </c>
    </row>
    <row r="69" spans="1:41" ht="13.9" customHeight="1" x14ac:dyDescent="0.2">
      <c r="B69" s="66" t="s">
        <v>379</v>
      </c>
      <c r="I69" s="66">
        <f>-Parameters!F46</f>
        <v>0.4</v>
      </c>
      <c r="J69" s="66"/>
      <c r="M69" s="84"/>
      <c r="AO69" s="8">
        <f>ROW()</f>
        <v>69</v>
      </c>
    </row>
    <row r="70" spans="1:41" ht="13.9" customHeight="1" x14ac:dyDescent="0.2">
      <c r="B70" s="3" t="s">
        <v>204</v>
      </c>
      <c r="M70" s="84"/>
      <c r="AO70" s="8">
        <f>ROW()</f>
        <v>70</v>
      </c>
    </row>
    <row r="71" spans="1:41" ht="13.9" customHeight="1" x14ac:dyDescent="0.2">
      <c r="M71" s="84"/>
      <c r="AO71" s="8">
        <f>ROW()</f>
        <v>71</v>
      </c>
    </row>
    <row r="72" spans="1:41" ht="13.9" customHeight="1" x14ac:dyDescent="0.2">
      <c r="B72" s="3"/>
      <c r="I72" s="5"/>
      <c r="J72" s="5"/>
      <c r="M72" s="84"/>
      <c r="AA72" s="6"/>
      <c r="AO72" s="8">
        <f>ROW()</f>
        <v>72</v>
      </c>
    </row>
    <row r="73" spans="1:41" ht="13.9" customHeight="1" x14ac:dyDescent="0.2">
      <c r="A73" s="74"/>
      <c r="B73" s="66" t="s">
        <v>197</v>
      </c>
      <c r="I73" s="65">
        <v>10</v>
      </c>
      <c r="J73" s="65"/>
      <c r="M73" s="84"/>
      <c r="R73" s="448" t="s">
        <v>380</v>
      </c>
      <c r="S73" s="449"/>
      <c r="T73" s="449"/>
      <c r="U73" s="449"/>
      <c r="V73" s="449"/>
      <c r="W73" s="449"/>
      <c r="X73" s="449"/>
      <c r="Y73" s="449"/>
      <c r="Z73" s="449"/>
      <c r="AA73" s="449"/>
      <c r="AB73" s="449"/>
      <c r="AO73" s="8">
        <f>ROW()</f>
        <v>73</v>
      </c>
    </row>
    <row r="74" spans="1:41" ht="13.9" customHeight="1" x14ac:dyDescent="0.2">
      <c r="B74" s="3"/>
      <c r="M74" s="84"/>
      <c r="R74" s="449"/>
      <c r="S74" s="449"/>
      <c r="T74" s="449"/>
      <c r="U74" s="449"/>
      <c r="V74" s="449"/>
      <c r="W74" s="449"/>
      <c r="X74" s="449"/>
      <c r="Y74" s="449"/>
      <c r="Z74" s="449"/>
      <c r="AA74" s="449"/>
      <c r="AB74" s="449"/>
      <c r="AO74" s="8">
        <f>ROW()</f>
        <v>74</v>
      </c>
    </row>
    <row r="75" spans="1:41" ht="13.9" customHeight="1" x14ac:dyDescent="0.2">
      <c r="A75" s="6"/>
      <c r="M75" s="84"/>
      <c r="R75" s="449"/>
      <c r="S75" s="449"/>
      <c r="T75" s="449"/>
      <c r="U75" s="449"/>
      <c r="V75" s="449"/>
      <c r="W75" s="449"/>
      <c r="X75" s="449"/>
      <c r="Y75" s="449"/>
      <c r="Z75" s="449"/>
      <c r="AA75" s="449"/>
      <c r="AB75" s="449"/>
      <c r="AO75" s="8">
        <f>ROW()</f>
        <v>75</v>
      </c>
    </row>
    <row r="76" spans="1:41" s="74" customFormat="1" ht="13.9" customHeight="1" x14ac:dyDescent="0.2">
      <c r="A76" s="6"/>
      <c r="B76" s="74" t="s">
        <v>190</v>
      </c>
      <c r="I76" s="74">
        <f>P7</f>
        <v>2012</v>
      </c>
      <c r="M76" s="207"/>
      <c r="N76" s="207"/>
      <c r="O76" s="207"/>
      <c r="R76" s="449"/>
      <c r="S76" s="449"/>
      <c r="T76" s="449"/>
      <c r="U76" s="449"/>
      <c r="V76" s="449"/>
      <c r="W76" s="449"/>
      <c r="X76" s="449"/>
      <c r="Y76" s="449"/>
      <c r="Z76" s="449"/>
      <c r="AA76" s="449"/>
      <c r="AB76" s="449"/>
      <c r="AD76"/>
      <c r="AE76"/>
      <c r="AF76"/>
      <c r="AO76" s="8">
        <f>ROW()</f>
        <v>76</v>
      </c>
    </row>
    <row r="77" spans="1:41" ht="13.9" customHeight="1" x14ac:dyDescent="0.2">
      <c r="A77" s="6"/>
      <c r="M77" s="84"/>
      <c r="AO77" s="8">
        <f>ROW()</f>
        <v>77</v>
      </c>
    </row>
    <row r="78" spans="1:41" s="38" customFormat="1" ht="13.9" customHeight="1" x14ac:dyDescent="0.2">
      <c r="A78" s="6"/>
      <c r="B78" s="6" t="s">
        <v>232</v>
      </c>
      <c r="C78" s="6"/>
      <c r="D78" s="6"/>
      <c r="E78" s="6"/>
      <c r="F78" s="6"/>
      <c r="G78" s="6"/>
      <c r="H78" s="6"/>
      <c r="I78">
        <f>I76</f>
        <v>2012</v>
      </c>
      <c r="J78"/>
      <c r="M78" s="215"/>
      <c r="N78" s="215"/>
      <c r="O78" s="215"/>
      <c r="P78" s="6">
        <f>IF(P7&gt;=Summary!$J$98+$I$73,$I$69,((P7-$I$76+1)/$I$73)*$I$69)</f>
        <v>4.0000000000000008E-2</v>
      </c>
      <c r="Q78" s="6">
        <f>IF(Q7&gt;=Summary!$J$98+$I$73,$I$69,((Q7-$I$76+1)/$I$73)*$I$69)</f>
        <v>8.0000000000000016E-2</v>
      </c>
      <c r="R78" s="6">
        <f>IF(R7&gt;=Summary!$J$98+$I$73,$I$69,((R7-$I$76+1)/$I$73)*$I$69)</f>
        <v>0.12</v>
      </c>
      <c r="S78" s="6">
        <f>IF(S7&gt;=Summary!$J$98+$I$73,$I$69,((S7-$I$76+1)/$I$73)*$I$69)</f>
        <v>0.16000000000000003</v>
      </c>
      <c r="T78" s="6">
        <f>IF(T7&gt;=Summary!$J$98+$I$73,$I$69,((T7-$I$76+1)/$I$73)*$I$69)</f>
        <v>0.2</v>
      </c>
      <c r="U78" s="6">
        <f>IF(U7&gt;=Summary!$J$98+$I$73,$I$69,((U7-$I$76+1)/$I$73)*$I$69)</f>
        <v>0.24</v>
      </c>
      <c r="V78" s="6">
        <f>IF(V7&gt;=Summary!$J$98+$I$73,$I$69,((V7-$I$76+1)/$I$73)*$I$69)</f>
        <v>0.27999999999999997</v>
      </c>
      <c r="W78" s="6">
        <f>IF(W7&gt;=Summary!$J$98+$I$73,$I$69,((W7-$I$76+1)/$I$73)*$I$69)</f>
        <v>0.32000000000000006</v>
      </c>
      <c r="X78" s="6">
        <f>IF(X7&gt;=Summary!$J$98+$I$73,$I$69,((X7-$I$76+1)/$I$73)*$I$69)</f>
        <v>0.36000000000000004</v>
      </c>
      <c r="Y78" s="6">
        <f>IF(Y7&gt;=Summary!$J$98+$I$73,$I$69,((Y7-$I$76+1)/$I$73)*$I$69)</f>
        <v>0.4</v>
      </c>
      <c r="Z78" s="6">
        <f>IF(Z7&gt;=Summary!$J$98+$I$73,$I$69,((Z7-$I$76+1)/$I$73)*$I$69)</f>
        <v>0.4</v>
      </c>
      <c r="AA78" s="6">
        <f>IF(AA7&gt;=Summary!$J$98+$I$73,$I$69,((AA7-$I$76+1)/$I$73)*$I$69)</f>
        <v>0.4</v>
      </c>
      <c r="AB78" s="6">
        <f>IF(AB7&gt;=Summary!$J$98+$I$73,$I$69,((AB7-$I$76+1)/$I$73)*$I$69)</f>
        <v>0.4</v>
      </c>
      <c r="AC78" s="6">
        <f>IF(AC7&gt;=Summary!$J$98+$I$73,$I$69,((AC7-$I$76+1)/$I$73)*$I$69)</f>
        <v>0.4</v>
      </c>
      <c r="AD78" s="6">
        <f>IF(AD7&gt;=Summary!$J$98+$I$73,$I$69,((AD7-$I$76+1)/$I$73)*$I$69)</f>
        <v>0.4</v>
      </c>
      <c r="AE78" s="6">
        <f>IF(AE7&gt;=Summary!$J$98+$I$73,$I$69,((AE7-$I$76+1)/$I$73)*$I$69)</f>
        <v>0.4</v>
      </c>
      <c r="AF78" s="6">
        <f>IF(AF7&gt;=Summary!$J$98+$I$73,$I$69,((AF7-$I$76+1)/$I$73)*$I$69)</f>
        <v>0.4</v>
      </c>
      <c r="AG78" s="6">
        <f>IF(AG7&gt;=Summary!$J$98+$I$73,$I$69,((AG7-$I$76+1)/$I$73)*$I$69)</f>
        <v>0.4</v>
      </c>
      <c r="AH78" s="6">
        <f>IF(AH7&gt;=Summary!$J$98+$I$73,$I$69,((AH7-$I$76+1)/$I$73)*$I$69)</f>
        <v>0.4</v>
      </c>
      <c r="AI78" s="6">
        <f>IF(AI7&gt;=Summary!$J$98+$I$73,$I$69,((AI7-$I$76+1)/$I$73)*$I$69)</f>
        <v>0.4</v>
      </c>
      <c r="AJ78" s="6">
        <f>IF(AJ7&gt;=Summary!$J$98+$I$73,$I$69,((AJ7-$I$76+1)/$I$73)*$I$69)</f>
        <v>0.4</v>
      </c>
      <c r="AK78" s="6">
        <f>IF(AK7&gt;=Summary!$J$98+$I$73,$I$69,((AK7-$I$76+1)/$I$73)*$I$69)</f>
        <v>0.4</v>
      </c>
      <c r="AL78" s="6">
        <f>IF(AL7&gt;=Summary!$J$98+$I$73,$I$69,((AL7-$I$76+1)/$I$73)*$I$69)</f>
        <v>0.4</v>
      </c>
      <c r="AO78" s="8">
        <f>ROW()</f>
        <v>78</v>
      </c>
    </row>
    <row r="79" spans="1:41" s="38" customFormat="1" ht="13.9" customHeight="1" x14ac:dyDescent="0.2">
      <c r="A79" s="6"/>
      <c r="B79" s="6" t="s">
        <v>232</v>
      </c>
      <c r="G79"/>
      <c r="H79"/>
      <c r="I79">
        <f>I78+1</f>
        <v>2013</v>
      </c>
      <c r="J79"/>
      <c r="M79" s="215"/>
      <c r="N79" s="215"/>
      <c r="O79" s="215"/>
      <c r="P79" s="6"/>
      <c r="Q79" s="6">
        <f t="shared" ref="Q79:AF79" si="15">P78</f>
        <v>4.0000000000000008E-2</v>
      </c>
      <c r="R79" s="6">
        <f t="shared" si="15"/>
        <v>8.0000000000000016E-2</v>
      </c>
      <c r="S79" s="6">
        <f t="shared" si="15"/>
        <v>0.12</v>
      </c>
      <c r="T79" s="6">
        <f t="shared" si="15"/>
        <v>0.16000000000000003</v>
      </c>
      <c r="U79" s="6">
        <f t="shared" si="15"/>
        <v>0.2</v>
      </c>
      <c r="V79" s="6">
        <f t="shared" si="15"/>
        <v>0.24</v>
      </c>
      <c r="W79" s="6">
        <f t="shared" si="15"/>
        <v>0.27999999999999997</v>
      </c>
      <c r="X79" s="6">
        <f t="shared" si="15"/>
        <v>0.32000000000000006</v>
      </c>
      <c r="Y79" s="6">
        <f t="shared" si="15"/>
        <v>0.36000000000000004</v>
      </c>
      <c r="Z79" s="6">
        <f t="shared" si="15"/>
        <v>0.4</v>
      </c>
      <c r="AA79" s="6">
        <f t="shared" si="15"/>
        <v>0.4</v>
      </c>
      <c r="AB79" s="6">
        <f t="shared" si="15"/>
        <v>0.4</v>
      </c>
      <c r="AC79" s="6">
        <f t="shared" si="15"/>
        <v>0.4</v>
      </c>
      <c r="AD79" s="6">
        <f t="shared" si="15"/>
        <v>0.4</v>
      </c>
      <c r="AE79" s="6">
        <f t="shared" si="15"/>
        <v>0.4</v>
      </c>
      <c r="AF79" s="6">
        <f t="shared" si="15"/>
        <v>0.4</v>
      </c>
      <c r="AG79" s="6">
        <f t="shared" ref="W79:AL94" si="16">AF78</f>
        <v>0.4</v>
      </c>
      <c r="AH79" s="6">
        <f t="shared" si="16"/>
        <v>0.4</v>
      </c>
      <c r="AI79" s="6">
        <f t="shared" si="16"/>
        <v>0.4</v>
      </c>
      <c r="AJ79" s="6">
        <f t="shared" si="16"/>
        <v>0.4</v>
      </c>
      <c r="AK79" s="6">
        <f t="shared" si="16"/>
        <v>0.4</v>
      </c>
      <c r="AL79" s="6">
        <f t="shared" si="16"/>
        <v>0.4</v>
      </c>
      <c r="AO79" s="8">
        <f>ROW()</f>
        <v>79</v>
      </c>
    </row>
    <row r="80" spans="1:41" s="38" customFormat="1" ht="13.9" customHeight="1" x14ac:dyDescent="0.2">
      <c r="A80" s="6"/>
      <c r="B80" s="6" t="s">
        <v>232</v>
      </c>
      <c r="G80"/>
      <c r="H80"/>
      <c r="I80">
        <f t="shared" ref="I80:I100" si="17">I79+1</f>
        <v>2014</v>
      </c>
      <c r="J80"/>
      <c r="M80" s="215"/>
      <c r="N80" s="215"/>
      <c r="O80" s="215"/>
      <c r="P80" s="6"/>
      <c r="Q80" s="6"/>
      <c r="R80" s="6">
        <f t="shared" ref="R80:AF80" si="18">Q79</f>
        <v>4.0000000000000008E-2</v>
      </c>
      <c r="S80" s="6">
        <f t="shared" si="18"/>
        <v>8.0000000000000016E-2</v>
      </c>
      <c r="T80" s="6">
        <f t="shared" si="18"/>
        <v>0.12</v>
      </c>
      <c r="U80" s="6">
        <f t="shared" si="18"/>
        <v>0.16000000000000003</v>
      </c>
      <c r="V80" s="6">
        <f t="shared" si="18"/>
        <v>0.2</v>
      </c>
      <c r="W80" s="6">
        <f t="shared" si="18"/>
        <v>0.24</v>
      </c>
      <c r="X80" s="6">
        <f t="shared" si="18"/>
        <v>0.27999999999999997</v>
      </c>
      <c r="Y80" s="6">
        <f t="shared" si="18"/>
        <v>0.32000000000000006</v>
      </c>
      <c r="Z80" s="6">
        <f t="shared" si="18"/>
        <v>0.36000000000000004</v>
      </c>
      <c r="AA80" s="6">
        <f t="shared" si="18"/>
        <v>0.4</v>
      </c>
      <c r="AB80" s="6">
        <f t="shared" si="18"/>
        <v>0.4</v>
      </c>
      <c r="AC80" s="6">
        <f t="shared" si="18"/>
        <v>0.4</v>
      </c>
      <c r="AD80" s="6">
        <f t="shared" si="18"/>
        <v>0.4</v>
      </c>
      <c r="AE80" s="6">
        <f t="shared" si="18"/>
        <v>0.4</v>
      </c>
      <c r="AF80" s="6">
        <f t="shared" si="18"/>
        <v>0.4</v>
      </c>
      <c r="AG80" s="6">
        <f t="shared" si="16"/>
        <v>0.4</v>
      </c>
      <c r="AH80" s="6">
        <f t="shared" si="16"/>
        <v>0.4</v>
      </c>
      <c r="AI80" s="6">
        <f t="shared" si="16"/>
        <v>0.4</v>
      </c>
      <c r="AJ80" s="6">
        <f t="shared" si="16"/>
        <v>0.4</v>
      </c>
      <c r="AK80" s="6">
        <f t="shared" si="16"/>
        <v>0.4</v>
      </c>
      <c r="AL80" s="6">
        <f t="shared" si="16"/>
        <v>0.4</v>
      </c>
      <c r="AO80" s="8">
        <f>ROW()</f>
        <v>80</v>
      </c>
    </row>
    <row r="81" spans="1:41" s="38" customFormat="1" ht="13.9" customHeight="1" x14ac:dyDescent="0.2">
      <c r="A81" s="6"/>
      <c r="B81" s="6" t="s">
        <v>232</v>
      </c>
      <c r="G81"/>
      <c r="H81"/>
      <c r="I81">
        <f t="shared" si="17"/>
        <v>2015</v>
      </c>
      <c r="J81"/>
      <c r="K81"/>
      <c r="L81"/>
      <c r="M81" s="215"/>
      <c r="N81" s="215"/>
      <c r="O81" s="215"/>
      <c r="P81" s="6"/>
      <c r="Q81" s="6"/>
      <c r="R81" s="6"/>
      <c r="S81" s="6">
        <f t="shared" ref="S81:AF81" si="19">R80</f>
        <v>4.0000000000000008E-2</v>
      </c>
      <c r="T81" s="6">
        <f t="shared" si="19"/>
        <v>8.0000000000000016E-2</v>
      </c>
      <c r="U81" s="6">
        <f t="shared" si="19"/>
        <v>0.12</v>
      </c>
      <c r="V81" s="6">
        <f t="shared" si="19"/>
        <v>0.16000000000000003</v>
      </c>
      <c r="W81" s="6">
        <f t="shared" si="19"/>
        <v>0.2</v>
      </c>
      <c r="X81" s="6">
        <f t="shared" si="19"/>
        <v>0.24</v>
      </c>
      <c r="Y81" s="6">
        <f t="shared" si="19"/>
        <v>0.27999999999999997</v>
      </c>
      <c r="Z81" s="6">
        <f t="shared" si="19"/>
        <v>0.32000000000000006</v>
      </c>
      <c r="AA81" s="6">
        <f t="shared" si="19"/>
        <v>0.36000000000000004</v>
      </c>
      <c r="AB81" s="6">
        <f t="shared" si="19"/>
        <v>0.4</v>
      </c>
      <c r="AC81" s="6">
        <f t="shared" si="19"/>
        <v>0.4</v>
      </c>
      <c r="AD81" s="6">
        <f t="shared" si="19"/>
        <v>0.4</v>
      </c>
      <c r="AE81" s="6">
        <f t="shared" si="19"/>
        <v>0.4</v>
      </c>
      <c r="AF81" s="6">
        <f t="shared" si="19"/>
        <v>0.4</v>
      </c>
      <c r="AG81" s="6">
        <f t="shared" si="16"/>
        <v>0.4</v>
      </c>
      <c r="AH81" s="6">
        <f t="shared" si="16"/>
        <v>0.4</v>
      </c>
      <c r="AI81" s="6">
        <f t="shared" si="16"/>
        <v>0.4</v>
      </c>
      <c r="AJ81" s="6">
        <f t="shared" si="16"/>
        <v>0.4</v>
      </c>
      <c r="AK81" s="6">
        <f t="shared" si="16"/>
        <v>0.4</v>
      </c>
      <c r="AL81" s="6">
        <f t="shared" si="16"/>
        <v>0.4</v>
      </c>
      <c r="AO81" s="8">
        <f>ROW()</f>
        <v>81</v>
      </c>
    </row>
    <row r="82" spans="1:41" s="38" customFormat="1" ht="13.9" customHeight="1" x14ac:dyDescent="0.2">
      <c r="A82" s="6"/>
      <c r="B82" s="6" t="s">
        <v>232</v>
      </c>
      <c r="G82"/>
      <c r="H82"/>
      <c r="I82">
        <f t="shared" si="17"/>
        <v>2016</v>
      </c>
      <c r="J82"/>
      <c r="K82"/>
      <c r="L82"/>
      <c r="M82" s="215"/>
      <c r="N82" s="215"/>
      <c r="O82" s="215"/>
      <c r="P82" s="6"/>
      <c r="Q82" s="6"/>
      <c r="R82" s="6"/>
      <c r="S82" s="6"/>
      <c r="T82" s="6">
        <f t="shared" ref="T82:AF82" si="20">S81</f>
        <v>4.0000000000000008E-2</v>
      </c>
      <c r="U82" s="6">
        <f t="shared" si="20"/>
        <v>8.0000000000000016E-2</v>
      </c>
      <c r="V82" s="6">
        <f t="shared" si="20"/>
        <v>0.12</v>
      </c>
      <c r="W82" s="6">
        <f t="shared" si="20"/>
        <v>0.16000000000000003</v>
      </c>
      <c r="X82" s="6">
        <f t="shared" si="20"/>
        <v>0.2</v>
      </c>
      <c r="Y82" s="6">
        <f t="shared" si="20"/>
        <v>0.24</v>
      </c>
      <c r="Z82" s="6">
        <f t="shared" si="20"/>
        <v>0.27999999999999997</v>
      </c>
      <c r="AA82" s="6">
        <f t="shared" si="20"/>
        <v>0.32000000000000006</v>
      </c>
      <c r="AB82" s="6">
        <f t="shared" si="20"/>
        <v>0.36000000000000004</v>
      </c>
      <c r="AC82" s="6">
        <f t="shared" si="20"/>
        <v>0.4</v>
      </c>
      <c r="AD82" s="6">
        <f t="shared" si="20"/>
        <v>0.4</v>
      </c>
      <c r="AE82" s="6">
        <f t="shared" si="20"/>
        <v>0.4</v>
      </c>
      <c r="AF82" s="6">
        <f t="shared" si="20"/>
        <v>0.4</v>
      </c>
      <c r="AG82" s="6">
        <f t="shared" si="16"/>
        <v>0.4</v>
      </c>
      <c r="AH82" s="6">
        <f t="shared" si="16"/>
        <v>0.4</v>
      </c>
      <c r="AI82" s="6">
        <f t="shared" si="16"/>
        <v>0.4</v>
      </c>
      <c r="AJ82" s="6">
        <f t="shared" si="16"/>
        <v>0.4</v>
      </c>
      <c r="AK82" s="6">
        <f t="shared" si="16"/>
        <v>0.4</v>
      </c>
      <c r="AL82" s="6">
        <f t="shared" si="16"/>
        <v>0.4</v>
      </c>
      <c r="AO82" s="8">
        <f>ROW()</f>
        <v>82</v>
      </c>
    </row>
    <row r="83" spans="1:41" s="38" customFormat="1" ht="13.9" customHeight="1" x14ac:dyDescent="0.2">
      <c r="A83" s="6"/>
      <c r="B83" s="6" t="s">
        <v>232</v>
      </c>
      <c r="G83"/>
      <c r="H83"/>
      <c r="I83">
        <f t="shared" si="17"/>
        <v>2017</v>
      </c>
      <c r="J83"/>
      <c r="K83"/>
      <c r="L83"/>
      <c r="M83" s="215"/>
      <c r="N83" s="215"/>
      <c r="O83" s="215"/>
      <c r="P83" s="6"/>
      <c r="Q83" s="6"/>
      <c r="R83" s="6"/>
      <c r="S83" s="6"/>
      <c r="T83" s="6"/>
      <c r="U83" s="6">
        <f t="shared" ref="U83:AF83" si="21">T82</f>
        <v>4.0000000000000008E-2</v>
      </c>
      <c r="V83" s="6">
        <f t="shared" si="21"/>
        <v>8.0000000000000016E-2</v>
      </c>
      <c r="W83" s="6">
        <f t="shared" si="21"/>
        <v>0.12</v>
      </c>
      <c r="X83" s="6">
        <f t="shared" si="21"/>
        <v>0.16000000000000003</v>
      </c>
      <c r="Y83" s="6">
        <f t="shared" si="21"/>
        <v>0.2</v>
      </c>
      <c r="Z83" s="6">
        <f t="shared" si="21"/>
        <v>0.24</v>
      </c>
      <c r="AA83" s="6">
        <f t="shared" si="21"/>
        <v>0.27999999999999997</v>
      </c>
      <c r="AB83" s="6">
        <f t="shared" si="21"/>
        <v>0.32000000000000006</v>
      </c>
      <c r="AC83" s="6">
        <f t="shared" si="21"/>
        <v>0.36000000000000004</v>
      </c>
      <c r="AD83" s="6">
        <f t="shared" si="21"/>
        <v>0.4</v>
      </c>
      <c r="AE83" s="6">
        <f t="shared" si="21"/>
        <v>0.4</v>
      </c>
      <c r="AF83" s="6">
        <f t="shared" si="21"/>
        <v>0.4</v>
      </c>
      <c r="AG83" s="6">
        <f t="shared" si="16"/>
        <v>0.4</v>
      </c>
      <c r="AH83" s="6">
        <f t="shared" si="16"/>
        <v>0.4</v>
      </c>
      <c r="AI83" s="6">
        <f t="shared" si="16"/>
        <v>0.4</v>
      </c>
      <c r="AJ83" s="6">
        <f t="shared" si="16"/>
        <v>0.4</v>
      </c>
      <c r="AK83" s="6">
        <f t="shared" si="16"/>
        <v>0.4</v>
      </c>
      <c r="AL83" s="6">
        <f t="shared" si="16"/>
        <v>0.4</v>
      </c>
      <c r="AO83" s="8">
        <f>ROW()</f>
        <v>83</v>
      </c>
    </row>
    <row r="84" spans="1:41" s="38" customFormat="1" ht="13.9" customHeight="1" x14ac:dyDescent="0.2">
      <c r="A84" s="6"/>
      <c r="B84" s="6" t="s">
        <v>232</v>
      </c>
      <c r="G84"/>
      <c r="H84"/>
      <c r="I84">
        <f t="shared" si="17"/>
        <v>2018</v>
      </c>
      <c r="J84"/>
      <c r="K84"/>
      <c r="L84"/>
      <c r="M84" s="215"/>
      <c r="N84" s="215"/>
      <c r="O84" s="215"/>
      <c r="P84" s="6"/>
      <c r="Q84" s="6"/>
      <c r="R84" s="6"/>
      <c r="S84" s="6"/>
      <c r="T84" s="6"/>
      <c r="U84" s="6"/>
      <c r="V84" s="6">
        <f>U83</f>
        <v>4.0000000000000008E-2</v>
      </c>
      <c r="W84" s="6">
        <f t="shared" si="16"/>
        <v>8.0000000000000016E-2</v>
      </c>
      <c r="X84" s="6">
        <f t="shared" si="16"/>
        <v>0.12</v>
      </c>
      <c r="Y84" s="6">
        <f t="shared" si="16"/>
        <v>0.16000000000000003</v>
      </c>
      <c r="Z84" s="6">
        <f t="shared" si="16"/>
        <v>0.2</v>
      </c>
      <c r="AA84" s="6">
        <f t="shared" si="16"/>
        <v>0.24</v>
      </c>
      <c r="AB84" s="6">
        <f t="shared" si="16"/>
        <v>0.27999999999999997</v>
      </c>
      <c r="AC84" s="6">
        <f t="shared" si="16"/>
        <v>0.32000000000000006</v>
      </c>
      <c r="AD84" s="6">
        <f t="shared" si="16"/>
        <v>0.36000000000000004</v>
      </c>
      <c r="AE84" s="6">
        <f t="shared" si="16"/>
        <v>0.4</v>
      </c>
      <c r="AF84" s="6">
        <f t="shared" si="16"/>
        <v>0.4</v>
      </c>
      <c r="AG84" s="6">
        <f t="shared" si="16"/>
        <v>0.4</v>
      </c>
      <c r="AH84" s="6">
        <f t="shared" si="16"/>
        <v>0.4</v>
      </c>
      <c r="AI84" s="6">
        <f t="shared" si="16"/>
        <v>0.4</v>
      </c>
      <c r="AJ84" s="6">
        <f t="shared" si="16"/>
        <v>0.4</v>
      </c>
      <c r="AK84" s="6">
        <f t="shared" si="16"/>
        <v>0.4</v>
      </c>
      <c r="AL84" s="6">
        <f t="shared" si="16"/>
        <v>0.4</v>
      </c>
      <c r="AO84" s="8">
        <f>ROW()</f>
        <v>84</v>
      </c>
    </row>
    <row r="85" spans="1:41" s="38" customFormat="1" ht="13.9" customHeight="1" x14ac:dyDescent="0.2">
      <c r="A85" s="6"/>
      <c r="B85" s="6" t="s">
        <v>232</v>
      </c>
      <c r="G85"/>
      <c r="H85"/>
      <c r="I85">
        <f t="shared" si="17"/>
        <v>2019</v>
      </c>
      <c r="J85"/>
      <c r="K85"/>
      <c r="L85"/>
      <c r="M85" s="215"/>
      <c r="N85" s="215"/>
      <c r="O85" s="215"/>
      <c r="P85" s="6"/>
      <c r="Q85" s="6"/>
      <c r="R85" s="6"/>
      <c r="S85" s="6"/>
      <c r="T85" s="6"/>
      <c r="U85" s="6"/>
      <c r="V85" s="6"/>
      <c r="W85" s="6">
        <f>V84</f>
        <v>4.0000000000000008E-2</v>
      </c>
      <c r="X85" s="6">
        <f t="shared" si="16"/>
        <v>8.0000000000000016E-2</v>
      </c>
      <c r="Y85" s="6">
        <f t="shared" si="16"/>
        <v>0.12</v>
      </c>
      <c r="Z85" s="6">
        <f t="shared" si="16"/>
        <v>0.16000000000000003</v>
      </c>
      <c r="AA85" s="6">
        <f t="shared" si="16"/>
        <v>0.2</v>
      </c>
      <c r="AB85" s="6">
        <f t="shared" si="16"/>
        <v>0.24</v>
      </c>
      <c r="AC85" s="6">
        <f t="shared" si="16"/>
        <v>0.27999999999999997</v>
      </c>
      <c r="AD85" s="6">
        <f t="shared" si="16"/>
        <v>0.32000000000000006</v>
      </c>
      <c r="AE85" s="6">
        <f t="shared" si="16"/>
        <v>0.36000000000000004</v>
      </c>
      <c r="AF85" s="6">
        <f t="shared" si="16"/>
        <v>0.4</v>
      </c>
      <c r="AG85" s="6">
        <f t="shared" si="16"/>
        <v>0.4</v>
      </c>
      <c r="AH85" s="6">
        <f t="shared" si="16"/>
        <v>0.4</v>
      </c>
      <c r="AI85" s="6">
        <f t="shared" si="16"/>
        <v>0.4</v>
      </c>
      <c r="AJ85" s="6">
        <f t="shared" si="16"/>
        <v>0.4</v>
      </c>
      <c r="AK85" s="6">
        <f t="shared" si="16"/>
        <v>0.4</v>
      </c>
      <c r="AL85" s="6">
        <f t="shared" si="16"/>
        <v>0.4</v>
      </c>
      <c r="AO85" s="8">
        <f>ROW()</f>
        <v>85</v>
      </c>
    </row>
    <row r="86" spans="1:41" s="38" customFormat="1" ht="13.9" customHeight="1" x14ac:dyDescent="0.2">
      <c r="A86" s="6"/>
      <c r="B86" s="6" t="s">
        <v>232</v>
      </c>
      <c r="G86"/>
      <c r="H86"/>
      <c r="I86">
        <f t="shared" si="17"/>
        <v>2020</v>
      </c>
      <c r="J86"/>
      <c r="K86"/>
      <c r="L86"/>
      <c r="M86" s="215"/>
      <c r="N86" s="215"/>
      <c r="O86" s="215"/>
      <c r="P86" s="6"/>
      <c r="Q86" s="6"/>
      <c r="R86" s="6"/>
      <c r="S86" s="6"/>
      <c r="T86" s="29"/>
      <c r="U86" s="6"/>
      <c r="V86" s="6"/>
      <c r="W86" s="6"/>
      <c r="X86" s="6">
        <f>W85</f>
        <v>4.0000000000000008E-2</v>
      </c>
      <c r="Y86" s="6">
        <f t="shared" si="16"/>
        <v>8.0000000000000016E-2</v>
      </c>
      <c r="Z86" s="6">
        <f t="shared" si="16"/>
        <v>0.12</v>
      </c>
      <c r="AA86" s="6">
        <f t="shared" si="16"/>
        <v>0.16000000000000003</v>
      </c>
      <c r="AB86" s="6">
        <f t="shared" si="16"/>
        <v>0.2</v>
      </c>
      <c r="AC86" s="6">
        <f t="shared" si="16"/>
        <v>0.24</v>
      </c>
      <c r="AD86" s="6">
        <f t="shared" si="16"/>
        <v>0.27999999999999997</v>
      </c>
      <c r="AE86" s="6">
        <f t="shared" si="16"/>
        <v>0.32000000000000006</v>
      </c>
      <c r="AF86" s="6">
        <f t="shared" si="16"/>
        <v>0.36000000000000004</v>
      </c>
      <c r="AG86" s="6">
        <f t="shared" si="16"/>
        <v>0.4</v>
      </c>
      <c r="AH86" s="6">
        <f t="shared" si="16"/>
        <v>0.4</v>
      </c>
      <c r="AI86" s="6">
        <f t="shared" si="16"/>
        <v>0.4</v>
      </c>
      <c r="AJ86" s="6">
        <f t="shared" si="16"/>
        <v>0.4</v>
      </c>
      <c r="AK86" s="6">
        <f t="shared" si="16"/>
        <v>0.4</v>
      </c>
      <c r="AL86" s="6">
        <f t="shared" si="16"/>
        <v>0.4</v>
      </c>
      <c r="AO86" s="8">
        <f>ROW()</f>
        <v>86</v>
      </c>
    </row>
    <row r="87" spans="1:41" s="38" customFormat="1" ht="13.9" customHeight="1" x14ac:dyDescent="0.2">
      <c r="A87" s="6"/>
      <c r="B87" s="6" t="s">
        <v>232</v>
      </c>
      <c r="G87"/>
      <c r="H87"/>
      <c r="I87">
        <f t="shared" si="17"/>
        <v>2021</v>
      </c>
      <c r="J87"/>
      <c r="K87"/>
      <c r="L87"/>
      <c r="M87" s="215"/>
      <c r="N87" s="215"/>
      <c r="O87" s="215"/>
      <c r="P87" s="6"/>
      <c r="Q87" s="6"/>
      <c r="R87" s="6"/>
      <c r="S87" s="6"/>
      <c r="T87" s="29"/>
      <c r="U87" s="6"/>
      <c r="V87" s="6"/>
      <c r="W87" s="6"/>
      <c r="X87" s="6"/>
      <c r="Y87" s="6">
        <f>X86</f>
        <v>4.0000000000000008E-2</v>
      </c>
      <c r="Z87" s="6">
        <f t="shared" si="16"/>
        <v>8.0000000000000016E-2</v>
      </c>
      <c r="AA87" s="6">
        <f t="shared" si="16"/>
        <v>0.12</v>
      </c>
      <c r="AB87" s="6">
        <f t="shared" si="16"/>
        <v>0.16000000000000003</v>
      </c>
      <c r="AC87" s="6">
        <f t="shared" si="16"/>
        <v>0.2</v>
      </c>
      <c r="AD87" s="6">
        <f t="shared" si="16"/>
        <v>0.24</v>
      </c>
      <c r="AE87" s="6">
        <f t="shared" si="16"/>
        <v>0.27999999999999997</v>
      </c>
      <c r="AF87" s="6">
        <f t="shared" si="16"/>
        <v>0.32000000000000006</v>
      </c>
      <c r="AG87" s="6">
        <f t="shared" si="16"/>
        <v>0.36000000000000004</v>
      </c>
      <c r="AH87" s="6">
        <f t="shared" si="16"/>
        <v>0.4</v>
      </c>
      <c r="AI87" s="6">
        <f t="shared" si="16"/>
        <v>0.4</v>
      </c>
      <c r="AJ87" s="6">
        <f t="shared" si="16"/>
        <v>0.4</v>
      </c>
      <c r="AK87" s="6">
        <f t="shared" si="16"/>
        <v>0.4</v>
      </c>
      <c r="AL87" s="6">
        <f t="shared" si="16"/>
        <v>0.4</v>
      </c>
      <c r="AO87" s="8">
        <f>ROW()</f>
        <v>87</v>
      </c>
    </row>
    <row r="88" spans="1:41" s="38" customFormat="1" ht="13.9" customHeight="1" x14ac:dyDescent="0.2">
      <c r="A88" s="6"/>
      <c r="B88" s="6" t="s">
        <v>232</v>
      </c>
      <c r="G88"/>
      <c r="H88"/>
      <c r="I88">
        <f t="shared" si="17"/>
        <v>2022</v>
      </c>
      <c r="J88"/>
      <c r="K88"/>
      <c r="L88"/>
      <c r="M88" s="215"/>
      <c r="N88" s="215"/>
      <c r="O88" s="215"/>
      <c r="P88" s="6"/>
      <c r="Q88" s="6"/>
      <c r="R88" s="6"/>
      <c r="S88" s="6"/>
      <c r="T88" s="29"/>
      <c r="U88" s="6"/>
      <c r="V88" s="6"/>
      <c r="W88" s="6"/>
      <c r="X88" s="6"/>
      <c r="Y88" s="6"/>
      <c r="Z88" s="6">
        <f>Y87</f>
        <v>4.0000000000000008E-2</v>
      </c>
      <c r="AA88" s="6">
        <f t="shared" si="16"/>
        <v>8.0000000000000016E-2</v>
      </c>
      <c r="AB88" s="6">
        <f t="shared" si="16"/>
        <v>0.12</v>
      </c>
      <c r="AC88" s="6">
        <f t="shared" si="16"/>
        <v>0.16000000000000003</v>
      </c>
      <c r="AD88" s="6">
        <f t="shared" si="16"/>
        <v>0.2</v>
      </c>
      <c r="AE88" s="6">
        <f t="shared" si="16"/>
        <v>0.24</v>
      </c>
      <c r="AF88" s="6">
        <f t="shared" si="16"/>
        <v>0.27999999999999997</v>
      </c>
      <c r="AG88" s="6">
        <f t="shared" si="16"/>
        <v>0.32000000000000006</v>
      </c>
      <c r="AH88" s="6">
        <f t="shared" si="16"/>
        <v>0.36000000000000004</v>
      </c>
      <c r="AI88" s="6">
        <f t="shared" si="16"/>
        <v>0.4</v>
      </c>
      <c r="AJ88" s="6">
        <f t="shared" si="16"/>
        <v>0.4</v>
      </c>
      <c r="AK88" s="6">
        <f t="shared" si="16"/>
        <v>0.4</v>
      </c>
      <c r="AL88" s="6">
        <f t="shared" si="16"/>
        <v>0.4</v>
      </c>
      <c r="AO88" s="8">
        <f>ROW()</f>
        <v>88</v>
      </c>
    </row>
    <row r="89" spans="1:41" s="38" customFormat="1" ht="13.9" customHeight="1" x14ac:dyDescent="0.2">
      <c r="A89" s="6"/>
      <c r="B89" s="6" t="s">
        <v>232</v>
      </c>
      <c r="G89"/>
      <c r="H89"/>
      <c r="I89">
        <f t="shared" si="17"/>
        <v>2023</v>
      </c>
      <c r="J89"/>
      <c r="K89"/>
      <c r="L89"/>
      <c r="M89" s="215"/>
      <c r="N89" s="215"/>
      <c r="O89" s="215"/>
      <c r="P89" s="6"/>
      <c r="Q89" s="6"/>
      <c r="R89" s="6"/>
      <c r="S89" s="6"/>
      <c r="T89" s="29"/>
      <c r="U89" s="6"/>
      <c r="V89" s="6"/>
      <c r="W89" s="6"/>
      <c r="X89" s="6"/>
      <c r="Y89" s="6"/>
      <c r="Z89" s="6"/>
      <c r="AA89" s="6">
        <f>Z88</f>
        <v>4.0000000000000008E-2</v>
      </c>
      <c r="AB89" s="6">
        <f t="shared" si="16"/>
        <v>8.0000000000000016E-2</v>
      </c>
      <c r="AC89" s="6">
        <f t="shared" si="16"/>
        <v>0.12</v>
      </c>
      <c r="AD89" s="6">
        <f t="shared" si="16"/>
        <v>0.16000000000000003</v>
      </c>
      <c r="AE89" s="6">
        <f t="shared" si="16"/>
        <v>0.2</v>
      </c>
      <c r="AF89" s="6">
        <f t="shared" si="16"/>
        <v>0.24</v>
      </c>
      <c r="AG89" s="6">
        <f t="shared" si="16"/>
        <v>0.27999999999999997</v>
      </c>
      <c r="AH89" s="6">
        <f t="shared" si="16"/>
        <v>0.32000000000000006</v>
      </c>
      <c r="AI89" s="6">
        <f t="shared" si="16"/>
        <v>0.36000000000000004</v>
      </c>
      <c r="AJ89" s="6">
        <f t="shared" si="16"/>
        <v>0.4</v>
      </c>
      <c r="AK89" s="6">
        <f t="shared" si="16"/>
        <v>0.4</v>
      </c>
      <c r="AL89" s="6">
        <f t="shared" si="16"/>
        <v>0.4</v>
      </c>
      <c r="AO89" s="8">
        <f>ROW()</f>
        <v>89</v>
      </c>
    </row>
    <row r="90" spans="1:41" s="38" customFormat="1" ht="13.9" customHeight="1" x14ac:dyDescent="0.2">
      <c r="A90" s="6"/>
      <c r="B90" s="6" t="s">
        <v>232</v>
      </c>
      <c r="G90"/>
      <c r="H90"/>
      <c r="I90">
        <f t="shared" si="17"/>
        <v>2024</v>
      </c>
      <c r="J90"/>
      <c r="K90"/>
      <c r="L90"/>
      <c r="M90" s="215"/>
      <c r="N90" s="215"/>
      <c r="O90" s="215"/>
      <c r="P90" s="6"/>
      <c r="Q90" s="6"/>
      <c r="R90" s="6"/>
      <c r="S90" s="6"/>
      <c r="T90" s="29"/>
      <c r="U90" s="6"/>
      <c r="V90" s="6"/>
      <c r="W90" s="6"/>
      <c r="X90" s="6"/>
      <c r="Y90" s="6"/>
      <c r="Z90" s="6"/>
      <c r="AA90" s="6"/>
      <c r="AB90" s="6">
        <f>AA89</f>
        <v>4.0000000000000008E-2</v>
      </c>
      <c r="AC90" s="6">
        <f t="shared" si="16"/>
        <v>8.0000000000000016E-2</v>
      </c>
      <c r="AD90" s="6">
        <f t="shared" si="16"/>
        <v>0.12</v>
      </c>
      <c r="AE90" s="6">
        <f t="shared" si="16"/>
        <v>0.16000000000000003</v>
      </c>
      <c r="AF90" s="6">
        <f t="shared" si="16"/>
        <v>0.2</v>
      </c>
      <c r="AG90" s="6">
        <f t="shared" si="16"/>
        <v>0.24</v>
      </c>
      <c r="AH90" s="6">
        <f t="shared" si="16"/>
        <v>0.27999999999999997</v>
      </c>
      <c r="AI90" s="6">
        <f t="shared" si="16"/>
        <v>0.32000000000000006</v>
      </c>
      <c r="AJ90" s="6">
        <f t="shared" si="16"/>
        <v>0.36000000000000004</v>
      </c>
      <c r="AK90" s="6">
        <f t="shared" si="16"/>
        <v>0.4</v>
      </c>
      <c r="AL90" s="6">
        <f t="shared" si="16"/>
        <v>0.4</v>
      </c>
      <c r="AO90" s="8">
        <f>ROW()</f>
        <v>90</v>
      </c>
    </row>
    <row r="91" spans="1:41" s="38" customFormat="1" ht="13.9" customHeight="1" x14ac:dyDescent="0.2">
      <c r="A91" s="6"/>
      <c r="B91" s="6" t="s">
        <v>232</v>
      </c>
      <c r="G91"/>
      <c r="H91"/>
      <c r="I91">
        <f t="shared" si="17"/>
        <v>2025</v>
      </c>
      <c r="J91"/>
      <c r="K91"/>
      <c r="L91"/>
      <c r="M91" s="215"/>
      <c r="N91" s="215"/>
      <c r="O91" s="215"/>
      <c r="P91" s="6"/>
      <c r="Q91" s="6"/>
      <c r="R91" s="6"/>
      <c r="S91" s="6"/>
      <c r="T91" s="29"/>
      <c r="U91" s="6"/>
      <c r="V91" s="6"/>
      <c r="W91" s="6"/>
      <c r="X91" s="6"/>
      <c r="Y91" s="6"/>
      <c r="Z91" s="6"/>
      <c r="AA91" s="6"/>
      <c r="AB91" s="6"/>
      <c r="AC91" s="6">
        <f t="shared" si="16"/>
        <v>4.0000000000000008E-2</v>
      </c>
      <c r="AD91" s="6">
        <f t="shared" si="16"/>
        <v>8.0000000000000016E-2</v>
      </c>
      <c r="AE91" s="6">
        <f t="shared" si="16"/>
        <v>0.12</v>
      </c>
      <c r="AF91" s="6">
        <f t="shared" si="16"/>
        <v>0.16000000000000003</v>
      </c>
      <c r="AG91" s="6">
        <f t="shared" si="16"/>
        <v>0.2</v>
      </c>
      <c r="AH91" s="6">
        <f t="shared" si="16"/>
        <v>0.24</v>
      </c>
      <c r="AI91" s="6">
        <f t="shared" si="16"/>
        <v>0.27999999999999997</v>
      </c>
      <c r="AJ91" s="6">
        <f t="shared" si="16"/>
        <v>0.32000000000000006</v>
      </c>
      <c r="AK91" s="6">
        <f t="shared" si="16"/>
        <v>0.36000000000000004</v>
      </c>
      <c r="AL91" s="6">
        <f t="shared" si="16"/>
        <v>0.4</v>
      </c>
      <c r="AO91" s="8">
        <f>ROW()</f>
        <v>91</v>
      </c>
    </row>
    <row r="92" spans="1:41" s="38" customFormat="1" ht="13.9" customHeight="1" x14ac:dyDescent="0.2">
      <c r="A92" s="6"/>
      <c r="B92" s="6" t="s">
        <v>232</v>
      </c>
      <c r="G92"/>
      <c r="H92"/>
      <c r="I92">
        <f t="shared" si="17"/>
        <v>2026</v>
      </c>
      <c r="J92"/>
      <c r="K92"/>
      <c r="L92"/>
      <c r="M92" s="215"/>
      <c r="N92" s="215"/>
      <c r="O92" s="215"/>
      <c r="P92" s="6"/>
      <c r="Q92" s="6"/>
      <c r="R92" s="6"/>
      <c r="S92" s="6"/>
      <c r="T92" s="29"/>
      <c r="U92" s="6"/>
      <c r="V92" s="6"/>
      <c r="W92" s="6"/>
      <c r="X92" s="6"/>
      <c r="Y92" s="6"/>
      <c r="Z92" s="6"/>
      <c r="AA92" s="6"/>
      <c r="AB92" s="6"/>
      <c r="AC92" s="6"/>
      <c r="AD92" s="6">
        <f t="shared" si="16"/>
        <v>4.0000000000000008E-2</v>
      </c>
      <c r="AE92" s="6">
        <f t="shared" si="16"/>
        <v>8.0000000000000016E-2</v>
      </c>
      <c r="AF92" s="6">
        <f t="shared" si="16"/>
        <v>0.12</v>
      </c>
      <c r="AG92" s="6">
        <f t="shared" si="16"/>
        <v>0.16000000000000003</v>
      </c>
      <c r="AH92" s="6">
        <f t="shared" si="16"/>
        <v>0.2</v>
      </c>
      <c r="AI92" s="6">
        <f t="shared" si="16"/>
        <v>0.24</v>
      </c>
      <c r="AJ92" s="6">
        <f t="shared" si="16"/>
        <v>0.27999999999999997</v>
      </c>
      <c r="AK92" s="6">
        <f t="shared" si="16"/>
        <v>0.32000000000000006</v>
      </c>
      <c r="AL92" s="6">
        <f t="shared" si="16"/>
        <v>0.36000000000000004</v>
      </c>
      <c r="AO92" s="8">
        <f>ROW()</f>
        <v>92</v>
      </c>
    </row>
    <row r="93" spans="1:41" s="38" customFormat="1" ht="13.9" customHeight="1" x14ac:dyDescent="0.2">
      <c r="A93" s="6"/>
      <c r="B93" s="6" t="s">
        <v>232</v>
      </c>
      <c r="G93"/>
      <c r="H93"/>
      <c r="I93">
        <f t="shared" si="17"/>
        <v>2027</v>
      </c>
      <c r="J93"/>
      <c r="K93"/>
      <c r="L93"/>
      <c r="M93" s="215"/>
      <c r="N93" s="215"/>
      <c r="O93" s="215"/>
      <c r="P93" s="6"/>
      <c r="Q93" s="6"/>
      <c r="R93" s="6"/>
      <c r="S93" s="6"/>
      <c r="T93" s="29"/>
      <c r="U93" s="6"/>
      <c r="V93" s="6"/>
      <c r="W93" s="6"/>
      <c r="X93" s="6"/>
      <c r="Y93" s="6"/>
      <c r="Z93" s="6"/>
      <c r="AA93" s="6"/>
      <c r="AB93" s="6"/>
      <c r="AC93" s="6"/>
      <c r="AD93" s="6"/>
      <c r="AE93" s="6">
        <f>AD92</f>
        <v>4.0000000000000008E-2</v>
      </c>
      <c r="AF93" s="6">
        <f t="shared" si="16"/>
        <v>8.0000000000000016E-2</v>
      </c>
      <c r="AG93" s="6">
        <f t="shared" si="16"/>
        <v>0.12</v>
      </c>
      <c r="AH93" s="6">
        <f t="shared" si="16"/>
        <v>0.16000000000000003</v>
      </c>
      <c r="AI93" s="6">
        <f t="shared" si="16"/>
        <v>0.2</v>
      </c>
      <c r="AJ93" s="6">
        <f t="shared" si="16"/>
        <v>0.24</v>
      </c>
      <c r="AK93" s="6">
        <f t="shared" si="16"/>
        <v>0.27999999999999997</v>
      </c>
      <c r="AL93" s="6">
        <f t="shared" si="16"/>
        <v>0.32000000000000006</v>
      </c>
      <c r="AO93" s="8">
        <f>ROW()</f>
        <v>93</v>
      </c>
    </row>
    <row r="94" spans="1:41" s="38" customFormat="1" ht="13.9" customHeight="1" x14ac:dyDescent="0.2">
      <c r="A94" s="6"/>
      <c r="B94" s="6" t="s">
        <v>232</v>
      </c>
      <c r="G94"/>
      <c r="H94"/>
      <c r="I94">
        <f t="shared" si="17"/>
        <v>2028</v>
      </c>
      <c r="J94"/>
      <c r="K94" s="6"/>
      <c r="L94" s="6"/>
      <c r="M94" s="215"/>
      <c r="N94" s="215"/>
      <c r="O94" s="215"/>
      <c r="P94" s="6"/>
      <c r="Q94" s="6"/>
      <c r="R94" s="6"/>
      <c r="S94" s="6"/>
      <c r="T94" s="29"/>
      <c r="U94" s="6"/>
      <c r="V94" s="6"/>
      <c r="W94" s="6"/>
      <c r="X94" s="6"/>
      <c r="Y94" s="6"/>
      <c r="Z94" s="6"/>
      <c r="AA94" s="6"/>
      <c r="AB94" s="6"/>
      <c r="AC94" s="6"/>
      <c r="AD94" s="6"/>
      <c r="AE94" s="6"/>
      <c r="AF94" s="6">
        <f>AE93</f>
        <v>4.0000000000000008E-2</v>
      </c>
      <c r="AG94" s="6">
        <f t="shared" si="16"/>
        <v>8.0000000000000016E-2</v>
      </c>
      <c r="AH94" s="6">
        <f t="shared" si="16"/>
        <v>0.12</v>
      </c>
      <c r="AI94" s="6">
        <f t="shared" si="16"/>
        <v>0.16000000000000003</v>
      </c>
      <c r="AJ94" s="6">
        <f t="shared" si="16"/>
        <v>0.2</v>
      </c>
      <c r="AK94" s="6">
        <f t="shared" si="16"/>
        <v>0.24</v>
      </c>
      <c r="AL94" s="6">
        <f t="shared" si="16"/>
        <v>0.27999999999999997</v>
      </c>
      <c r="AO94" s="8">
        <f>ROW()</f>
        <v>94</v>
      </c>
    </row>
    <row r="95" spans="1:41" s="38" customFormat="1" ht="13.9" customHeight="1" x14ac:dyDescent="0.2">
      <c r="A95" s="6"/>
      <c r="B95" s="6" t="s">
        <v>232</v>
      </c>
      <c r="G95"/>
      <c r="H95"/>
      <c r="I95">
        <f t="shared" si="17"/>
        <v>2029</v>
      </c>
      <c r="J95"/>
      <c r="K95" s="6"/>
      <c r="L95" s="6"/>
      <c r="M95" s="84"/>
      <c r="N95" s="84"/>
      <c r="O95" s="84"/>
      <c r="P95" s="6"/>
      <c r="Q95" s="6"/>
      <c r="R95" s="6"/>
      <c r="S95" s="6"/>
      <c r="T95" s="29"/>
      <c r="U95" s="6"/>
      <c r="V95" s="6"/>
      <c r="W95" s="6"/>
      <c r="X95" s="6"/>
      <c r="Y95" s="6"/>
      <c r="Z95" s="6"/>
      <c r="AA95" s="6"/>
      <c r="AB95" s="6"/>
      <c r="AC95" s="6"/>
      <c r="AD95" s="6"/>
      <c r="AE95" s="6"/>
      <c r="AF95" s="6"/>
      <c r="AG95" s="6">
        <f t="shared" ref="AG95:AL95" si="22">AF94</f>
        <v>4.0000000000000008E-2</v>
      </c>
      <c r="AH95" s="6">
        <f t="shared" si="22"/>
        <v>8.0000000000000016E-2</v>
      </c>
      <c r="AI95" s="6">
        <f t="shared" si="22"/>
        <v>0.12</v>
      </c>
      <c r="AJ95" s="6">
        <f t="shared" si="22"/>
        <v>0.16000000000000003</v>
      </c>
      <c r="AK95" s="6">
        <f t="shared" si="22"/>
        <v>0.2</v>
      </c>
      <c r="AL95" s="6">
        <f t="shared" si="22"/>
        <v>0.24</v>
      </c>
      <c r="AO95" s="8">
        <f>ROW()</f>
        <v>95</v>
      </c>
    </row>
    <row r="96" spans="1:41" s="38" customFormat="1" ht="13.9" customHeight="1" x14ac:dyDescent="0.2">
      <c r="A96" s="6"/>
      <c r="B96" s="6" t="s">
        <v>232</v>
      </c>
      <c r="G96"/>
      <c r="H96"/>
      <c r="I96">
        <f t="shared" si="17"/>
        <v>2030</v>
      </c>
      <c r="J96"/>
      <c r="K96" s="6"/>
      <c r="L96" s="6"/>
      <c r="M96" s="84"/>
      <c r="N96" s="84"/>
      <c r="O96" s="84"/>
      <c r="P96" s="6"/>
      <c r="Q96" s="6"/>
      <c r="R96" s="6"/>
      <c r="S96" s="6"/>
      <c r="T96" s="29"/>
      <c r="U96" s="6"/>
      <c r="V96" s="6"/>
      <c r="W96" s="6"/>
      <c r="X96" s="6"/>
      <c r="Y96" s="6"/>
      <c r="Z96" s="6"/>
      <c r="AA96" s="6"/>
      <c r="AB96" s="6"/>
      <c r="AC96" s="6"/>
      <c r="AD96" s="6"/>
      <c r="AE96" s="6"/>
      <c r="AF96" s="6"/>
      <c r="AG96" s="6"/>
      <c r="AH96" s="6">
        <f>AG95</f>
        <v>4.0000000000000008E-2</v>
      </c>
      <c r="AI96" s="6">
        <f>AH95</f>
        <v>8.0000000000000016E-2</v>
      </c>
      <c r="AJ96" s="6">
        <f>AI95</f>
        <v>0.12</v>
      </c>
      <c r="AK96" s="6">
        <f>AJ95</f>
        <v>0.16000000000000003</v>
      </c>
      <c r="AL96" s="6">
        <f>AK95</f>
        <v>0.2</v>
      </c>
      <c r="AO96" s="8">
        <f>ROW()</f>
        <v>96</v>
      </c>
    </row>
    <row r="97" spans="1:41" s="38" customFormat="1" ht="13.9" customHeight="1" x14ac:dyDescent="0.2">
      <c r="A97" s="6"/>
      <c r="B97" s="6" t="s">
        <v>232</v>
      </c>
      <c r="G97"/>
      <c r="H97"/>
      <c r="I97">
        <f t="shared" si="17"/>
        <v>2031</v>
      </c>
      <c r="J97"/>
      <c r="K97" s="6"/>
      <c r="L97" s="6"/>
      <c r="M97" s="84"/>
      <c r="N97" s="84"/>
      <c r="O97" s="84"/>
      <c r="P97" s="6"/>
      <c r="Q97" s="6"/>
      <c r="R97" s="6"/>
      <c r="S97" s="6"/>
      <c r="T97" s="29"/>
      <c r="U97" s="6"/>
      <c r="V97" s="6"/>
      <c r="W97" s="6"/>
      <c r="X97" s="6"/>
      <c r="Y97" s="6"/>
      <c r="Z97" s="6"/>
      <c r="AA97" s="6"/>
      <c r="AB97" s="6"/>
      <c r="AC97" s="6"/>
      <c r="AD97" s="6"/>
      <c r="AE97" s="6"/>
      <c r="AF97" s="6"/>
      <c r="AG97" s="6"/>
      <c r="AH97" s="6"/>
      <c r="AI97" s="6">
        <f>AH96</f>
        <v>4.0000000000000008E-2</v>
      </c>
      <c r="AJ97" s="6">
        <f>AI96</f>
        <v>8.0000000000000016E-2</v>
      </c>
      <c r="AK97" s="6">
        <f>AJ96</f>
        <v>0.12</v>
      </c>
      <c r="AL97" s="6">
        <f>AK96</f>
        <v>0.16000000000000003</v>
      </c>
      <c r="AO97" s="8">
        <f>ROW()</f>
        <v>97</v>
      </c>
    </row>
    <row r="98" spans="1:41" s="38" customFormat="1" ht="13.9" customHeight="1" x14ac:dyDescent="0.2">
      <c r="A98" s="6"/>
      <c r="B98" s="6" t="s">
        <v>232</v>
      </c>
      <c r="G98"/>
      <c r="H98"/>
      <c r="I98">
        <f t="shared" si="17"/>
        <v>2032</v>
      </c>
      <c r="J98"/>
      <c r="K98" s="6"/>
      <c r="L98" s="6"/>
      <c r="M98" s="84"/>
      <c r="N98" s="84"/>
      <c r="O98" s="84"/>
      <c r="P98" s="6"/>
      <c r="Q98" s="6"/>
      <c r="R98" s="6"/>
      <c r="S98" s="6"/>
      <c r="T98" s="29"/>
      <c r="U98" s="6"/>
      <c r="V98" s="6"/>
      <c r="W98" s="6"/>
      <c r="X98" s="6"/>
      <c r="Y98" s="6"/>
      <c r="Z98" s="6"/>
      <c r="AA98" s="6"/>
      <c r="AB98" s="6"/>
      <c r="AC98" s="6"/>
      <c r="AD98" s="6"/>
      <c r="AE98" s="6"/>
      <c r="AF98" s="6"/>
      <c r="AG98" s="6"/>
      <c r="AH98" s="6"/>
      <c r="AI98" s="6"/>
      <c r="AJ98" s="6">
        <f>AI97</f>
        <v>4.0000000000000008E-2</v>
      </c>
      <c r="AK98" s="6">
        <f>AJ97</f>
        <v>8.0000000000000016E-2</v>
      </c>
      <c r="AL98" s="6">
        <f>AK97</f>
        <v>0.12</v>
      </c>
      <c r="AO98" s="8">
        <f>ROW()</f>
        <v>98</v>
      </c>
    </row>
    <row r="99" spans="1:41" s="38" customFormat="1" ht="13.9" customHeight="1" x14ac:dyDescent="0.2">
      <c r="A99" s="16"/>
      <c r="B99" s="6" t="s">
        <v>232</v>
      </c>
      <c r="G99"/>
      <c r="H99"/>
      <c r="I99">
        <f t="shared" si="17"/>
        <v>2033</v>
      </c>
      <c r="J99"/>
      <c r="K99" s="6"/>
      <c r="L99" s="6"/>
      <c r="M99" s="84"/>
      <c r="N99" s="84"/>
      <c r="O99" s="84"/>
      <c r="P99" s="6"/>
      <c r="Q99" s="6"/>
      <c r="R99" s="6"/>
      <c r="S99" s="6"/>
      <c r="T99" s="29"/>
      <c r="U99" s="6"/>
      <c r="V99" s="6"/>
      <c r="W99" s="6"/>
      <c r="X99" s="6"/>
      <c r="Y99" s="6"/>
      <c r="Z99" s="6"/>
      <c r="AA99" s="6"/>
      <c r="AB99" s="6"/>
      <c r="AC99" s="6"/>
      <c r="AD99" s="6"/>
      <c r="AE99" s="6"/>
      <c r="AF99" s="6"/>
      <c r="AG99" s="6"/>
      <c r="AH99" s="6"/>
      <c r="AI99" s="6"/>
      <c r="AJ99" s="6"/>
      <c r="AK99" s="6">
        <f>AJ98</f>
        <v>4.0000000000000008E-2</v>
      </c>
      <c r="AL99" s="6">
        <f>AK98</f>
        <v>8.0000000000000016E-2</v>
      </c>
      <c r="AO99" s="8">
        <f>ROW()</f>
        <v>99</v>
      </c>
    </row>
    <row r="100" spans="1:41" s="38" customFormat="1" ht="13.9" customHeight="1" x14ac:dyDescent="0.2">
      <c r="A100"/>
      <c r="B100" s="6" t="s">
        <v>232</v>
      </c>
      <c r="G100"/>
      <c r="H100"/>
      <c r="I100">
        <f t="shared" si="17"/>
        <v>2034</v>
      </c>
      <c r="J100"/>
      <c r="K100" s="6"/>
      <c r="L100" s="6"/>
      <c r="M100" s="84"/>
      <c r="N100" s="84"/>
      <c r="O100" s="84"/>
      <c r="P100" s="6"/>
      <c r="Q100" s="6"/>
      <c r="R100" s="6"/>
      <c r="S100" s="6"/>
      <c r="T100" s="29"/>
      <c r="U100" s="6"/>
      <c r="V100" s="6"/>
      <c r="W100" s="6"/>
      <c r="X100" s="6"/>
      <c r="Y100" s="6"/>
      <c r="Z100" s="6"/>
      <c r="AA100" s="6"/>
      <c r="AB100" s="6"/>
      <c r="AC100" s="6"/>
      <c r="AD100" s="6"/>
      <c r="AE100" s="6"/>
      <c r="AF100" s="6"/>
      <c r="AG100" s="6"/>
      <c r="AH100" s="6"/>
      <c r="AI100" s="6"/>
      <c r="AJ100" s="6"/>
      <c r="AK100" s="6"/>
      <c r="AL100" s="6">
        <f>AK99</f>
        <v>4.0000000000000008E-2</v>
      </c>
      <c r="AO100" s="8">
        <f>ROW()</f>
        <v>100</v>
      </c>
    </row>
    <row r="101" spans="1:41" s="38" customFormat="1" ht="13.9" customHeight="1" x14ac:dyDescent="0.2">
      <c r="A101"/>
      <c r="B101" s="40"/>
      <c r="K101"/>
      <c r="L101"/>
      <c r="M101" s="84"/>
      <c r="N101" s="84"/>
      <c r="O101" s="84"/>
      <c r="AO101" s="8">
        <f>ROW()</f>
        <v>101</v>
      </c>
    </row>
    <row r="102" spans="1:41" s="39" customFormat="1" ht="13.9" customHeight="1" x14ac:dyDescent="0.2">
      <c r="A102"/>
      <c r="B102" s="41" t="s">
        <v>372</v>
      </c>
      <c r="G102"/>
      <c r="H102"/>
      <c r="I102">
        <f>I78</f>
        <v>2012</v>
      </c>
      <c r="J102"/>
      <c r="K102"/>
      <c r="L102"/>
      <c r="M102" s="84"/>
      <c r="N102" s="84"/>
      <c r="O102" s="84"/>
      <c r="P102" s="16">
        <f t="shared" ref="P102:AL102" si="23">(1+$P$67)^(-P78)</f>
        <v>0.99136914846868562</v>
      </c>
      <c r="Q102" s="16">
        <f t="shared" si="23"/>
        <v>0.98281278853552712</v>
      </c>
      <c r="R102" s="16">
        <f t="shared" si="23"/>
        <v>0.97433027727459987</v>
      </c>
      <c r="S102" s="16">
        <f t="shared" si="23"/>
        <v>0.96592097730897863</v>
      </c>
      <c r="T102" s="16">
        <f t="shared" si="23"/>
        <v>0.95758425676284276</v>
      </c>
      <c r="U102" s="16">
        <f t="shared" si="23"/>
        <v>0.94931948921399878</v>
      </c>
      <c r="V102" s="16">
        <f t="shared" si="23"/>
        <v>0.94112605364680968</v>
      </c>
      <c r="W102" s="16">
        <f t="shared" si="23"/>
        <v>0.93300333440553229</v>
      </c>
      <c r="X102" s="16">
        <f t="shared" si="23"/>
        <v>0.9249507211480571</v>
      </c>
      <c r="Y102" s="16">
        <f t="shared" si="23"/>
        <v>0.91696760880004602</v>
      </c>
      <c r="Z102" s="16">
        <f t="shared" si="23"/>
        <v>0.91696760880004602</v>
      </c>
      <c r="AA102" s="16">
        <f t="shared" si="23"/>
        <v>0.91696760880004602</v>
      </c>
      <c r="AB102" s="16">
        <f t="shared" si="23"/>
        <v>0.91696760880004602</v>
      </c>
      <c r="AC102" s="16">
        <f t="shared" si="23"/>
        <v>0.91696760880004602</v>
      </c>
      <c r="AD102" s="16">
        <f t="shared" si="23"/>
        <v>0.91696760880004602</v>
      </c>
      <c r="AE102" s="16">
        <f t="shared" si="23"/>
        <v>0.91696760880004602</v>
      </c>
      <c r="AF102" s="16">
        <f t="shared" si="23"/>
        <v>0.91696760880004602</v>
      </c>
      <c r="AG102" s="16">
        <f t="shared" si="23"/>
        <v>0.91696760880004602</v>
      </c>
      <c r="AH102" s="16">
        <f t="shared" si="23"/>
        <v>0.91696760880004602</v>
      </c>
      <c r="AI102" s="16">
        <f t="shared" si="23"/>
        <v>0.91696760880004602</v>
      </c>
      <c r="AJ102" s="16">
        <f t="shared" si="23"/>
        <v>0.91696760880004602</v>
      </c>
      <c r="AK102" s="16">
        <f t="shared" si="23"/>
        <v>0.91696760880004602</v>
      </c>
      <c r="AL102" s="16">
        <f t="shared" si="23"/>
        <v>0.91696760880004602</v>
      </c>
      <c r="AO102" s="8">
        <f>ROW()</f>
        <v>102</v>
      </c>
    </row>
    <row r="103" spans="1:41" ht="13.9" customHeight="1" x14ac:dyDescent="0.2">
      <c r="B103" s="41" t="s">
        <v>372</v>
      </c>
      <c r="C103" s="41"/>
      <c r="I103">
        <f t="shared" ref="I103:I124" si="24">I79</f>
        <v>2013</v>
      </c>
      <c r="M103" s="84"/>
      <c r="P103" s="16">
        <f>(1+$P$67)^(-P79)</f>
        <v>1</v>
      </c>
      <c r="Q103" s="16">
        <f>(1+$Q$67)^(-Q79)</f>
        <v>0.99904420834092722</v>
      </c>
      <c r="R103" s="16">
        <f>(1+$Q$67)^(-R79)</f>
        <v>0.99808933021954993</v>
      </c>
      <c r="S103" s="16">
        <f>(1+$Q$67)^(-S79)</f>
        <v>0.9971353647627168</v>
      </c>
      <c r="T103" s="16">
        <f>(1+$Q$67)^(-T79)</f>
        <v>0.99618231109811006</v>
      </c>
      <c r="U103" s="16">
        <f>(1+$Q$67)^(-U79)</f>
        <v>0.9952301683542466</v>
      </c>
      <c r="V103" s="16">
        <f t="shared" ref="V103:AL103" si="25">(1+$Q$67)^(-V79)</f>
        <v>0.99427893566047609</v>
      </c>
      <c r="W103" s="16">
        <f t="shared" si="25"/>
        <v>0.99332861214697998</v>
      </c>
      <c r="X103" s="16">
        <f t="shared" si="25"/>
        <v>0.99237919694477161</v>
      </c>
      <c r="Y103" s="16">
        <f t="shared" si="25"/>
        <v>0.99143068918569444</v>
      </c>
      <c r="Z103" s="16">
        <f t="shared" si="25"/>
        <v>0.99048308800242202</v>
      </c>
      <c r="AA103" s="16">
        <f t="shared" si="25"/>
        <v>0.99048308800242202</v>
      </c>
      <c r="AB103" s="16">
        <f t="shared" si="25"/>
        <v>0.99048308800242202</v>
      </c>
      <c r="AC103" s="16">
        <f t="shared" si="25"/>
        <v>0.99048308800242202</v>
      </c>
      <c r="AD103" s="16">
        <f t="shared" si="25"/>
        <v>0.99048308800242202</v>
      </c>
      <c r="AE103" s="16">
        <f t="shared" si="25"/>
        <v>0.99048308800242202</v>
      </c>
      <c r="AF103" s="16">
        <f t="shared" si="25"/>
        <v>0.99048308800242202</v>
      </c>
      <c r="AG103" s="16">
        <f t="shared" si="25"/>
        <v>0.99048308800242202</v>
      </c>
      <c r="AH103" s="16">
        <f t="shared" si="25"/>
        <v>0.99048308800242202</v>
      </c>
      <c r="AI103" s="16">
        <f t="shared" si="25"/>
        <v>0.99048308800242202</v>
      </c>
      <c r="AJ103" s="16">
        <f t="shared" si="25"/>
        <v>0.99048308800242202</v>
      </c>
      <c r="AK103" s="16">
        <f t="shared" si="25"/>
        <v>0.99048308800242202</v>
      </c>
      <c r="AL103" s="16">
        <f t="shared" si="25"/>
        <v>0.99048308800242202</v>
      </c>
      <c r="AO103" s="8">
        <f>ROW()</f>
        <v>103</v>
      </c>
    </row>
    <row r="104" spans="1:41" ht="13.9" customHeight="1" x14ac:dyDescent="0.2">
      <c r="B104" s="41" t="s">
        <v>372</v>
      </c>
      <c r="C104" s="41"/>
      <c r="I104">
        <f t="shared" si="24"/>
        <v>2014</v>
      </c>
      <c r="K104" s="3"/>
      <c r="L104" s="3"/>
      <c r="M104" s="129"/>
      <c r="N104" s="129"/>
      <c r="O104" s="129"/>
      <c r="P104" s="16">
        <f t="shared" ref="P104:P124" si="26">(1+$P$67)^(-P80)</f>
        <v>1</v>
      </c>
      <c r="Q104" s="16">
        <f t="shared" ref="Q104:Q124" si="27">(1+$Q$67)^(-Q80)</f>
        <v>1</v>
      </c>
      <c r="R104" s="17">
        <f t="shared" ref="R104:AL104" si="28">(1+$R$67)^(-R80)</f>
        <v>0.99903343649784315</v>
      </c>
      <c r="S104" s="17">
        <f t="shared" si="28"/>
        <v>0.99806780724069011</v>
      </c>
      <c r="T104" s="17">
        <f t="shared" si="28"/>
        <v>0.99710311132553364</v>
      </c>
      <c r="U104" s="17">
        <f t="shared" si="28"/>
        <v>0.9961393478502395</v>
      </c>
      <c r="V104" s="17">
        <f t="shared" si="28"/>
        <v>0.99517651591354528</v>
      </c>
      <c r="W104" s="17">
        <f t="shared" si="28"/>
        <v>0.99421461461505956</v>
      </c>
      <c r="X104" s="17">
        <f t="shared" si="28"/>
        <v>0.99325364305526187</v>
      </c>
      <c r="Y104" s="17">
        <f t="shared" si="28"/>
        <v>0.9922936003355004</v>
      </c>
      <c r="Z104" s="17">
        <f t="shared" si="28"/>
        <v>0.99133448555799253</v>
      </c>
      <c r="AA104" s="17">
        <f t="shared" si="28"/>
        <v>0.99037629782582282</v>
      </c>
      <c r="AB104" s="17">
        <f t="shared" si="28"/>
        <v>0.99037629782582282</v>
      </c>
      <c r="AC104" s="17">
        <f t="shared" si="28"/>
        <v>0.99037629782582282</v>
      </c>
      <c r="AD104" s="17">
        <f t="shared" si="28"/>
        <v>0.99037629782582282</v>
      </c>
      <c r="AE104" s="17">
        <f t="shared" si="28"/>
        <v>0.99037629782582282</v>
      </c>
      <c r="AF104" s="17">
        <f t="shared" si="28"/>
        <v>0.99037629782582282</v>
      </c>
      <c r="AG104" s="17">
        <f t="shared" si="28"/>
        <v>0.99037629782582282</v>
      </c>
      <c r="AH104" s="17">
        <f t="shared" si="28"/>
        <v>0.99037629782582282</v>
      </c>
      <c r="AI104" s="17">
        <f t="shared" si="28"/>
        <v>0.99037629782582282</v>
      </c>
      <c r="AJ104" s="17">
        <f t="shared" si="28"/>
        <v>0.99037629782582282</v>
      </c>
      <c r="AK104" s="17">
        <f t="shared" si="28"/>
        <v>0.99037629782582282</v>
      </c>
      <c r="AL104" s="17">
        <f t="shared" si="28"/>
        <v>0.99037629782582282</v>
      </c>
      <c r="AM104" s="17"/>
      <c r="AO104" s="8">
        <f>ROW()</f>
        <v>104</v>
      </c>
    </row>
    <row r="105" spans="1:41" ht="13.9" customHeight="1" x14ac:dyDescent="0.2">
      <c r="B105" s="41" t="s">
        <v>372</v>
      </c>
      <c r="C105" s="41"/>
      <c r="I105">
        <f t="shared" si="24"/>
        <v>2015</v>
      </c>
      <c r="K105" s="3"/>
      <c r="L105" s="3"/>
      <c r="M105" s="129"/>
      <c r="N105" s="129"/>
      <c r="O105" s="129"/>
      <c r="P105" s="16">
        <f t="shared" si="26"/>
        <v>1</v>
      </c>
      <c r="Q105" s="16">
        <f t="shared" si="27"/>
        <v>1</v>
      </c>
      <c r="R105" s="17">
        <f t="shared" ref="R105:R124" si="29">(1+$R$67)^(-R81)</f>
        <v>1</v>
      </c>
      <c r="S105" s="17">
        <f>(1+$S$67)^(-S81)</f>
        <v>0.99902196151035683</v>
      </c>
      <c r="T105" s="17">
        <f>(1+$S$67)^(-T81)</f>
        <v>0.99804487958000088</v>
      </c>
      <c r="U105" s="17">
        <f t="shared" ref="U105:AL105" si="30">(1+$S$67)^(-U81)</f>
        <v>0.99706875327338018</v>
      </c>
      <c r="V105" s="17">
        <f t="shared" si="30"/>
        <v>0.99609358165585815</v>
      </c>
      <c r="W105" s="17">
        <f t="shared" si="30"/>
        <v>0.99511936379371213</v>
      </c>
      <c r="X105" s="17">
        <f t="shared" si="30"/>
        <v>0.99414609875413251</v>
      </c>
      <c r="Y105" s="17">
        <f t="shared" si="30"/>
        <v>0.9931737856052224</v>
      </c>
      <c r="Z105" s="17">
        <f t="shared" si="30"/>
        <v>0.99220242341599563</v>
      </c>
      <c r="AA105" s="17">
        <f t="shared" si="30"/>
        <v>0.99123201125637761</v>
      </c>
      <c r="AB105" s="17">
        <f t="shared" si="30"/>
        <v>0.99026254819720239</v>
      </c>
      <c r="AC105" s="17">
        <f t="shared" si="30"/>
        <v>0.99026254819720239</v>
      </c>
      <c r="AD105" s="17">
        <f t="shared" si="30"/>
        <v>0.99026254819720239</v>
      </c>
      <c r="AE105" s="17">
        <f t="shared" si="30"/>
        <v>0.99026254819720239</v>
      </c>
      <c r="AF105" s="17">
        <f t="shared" si="30"/>
        <v>0.99026254819720239</v>
      </c>
      <c r="AG105" s="17">
        <f t="shared" si="30"/>
        <v>0.99026254819720239</v>
      </c>
      <c r="AH105" s="17">
        <f t="shared" si="30"/>
        <v>0.99026254819720239</v>
      </c>
      <c r="AI105" s="17">
        <f t="shared" si="30"/>
        <v>0.99026254819720239</v>
      </c>
      <c r="AJ105" s="17">
        <f t="shared" si="30"/>
        <v>0.99026254819720239</v>
      </c>
      <c r="AK105" s="17">
        <f t="shared" si="30"/>
        <v>0.99026254819720239</v>
      </c>
      <c r="AL105" s="17">
        <f t="shared" si="30"/>
        <v>0.99026254819720239</v>
      </c>
      <c r="AO105" s="8">
        <f>ROW()</f>
        <v>105</v>
      </c>
    </row>
    <row r="106" spans="1:41" ht="13.9" customHeight="1" x14ac:dyDescent="0.2">
      <c r="B106" s="41" t="s">
        <v>372</v>
      </c>
      <c r="C106" s="41"/>
      <c r="I106">
        <f t="shared" si="24"/>
        <v>2016</v>
      </c>
      <c r="K106" s="3"/>
      <c r="L106" s="3"/>
      <c r="M106" s="129"/>
      <c r="N106" s="129"/>
      <c r="O106" s="129"/>
      <c r="P106" s="16">
        <f t="shared" si="26"/>
        <v>1</v>
      </c>
      <c r="Q106" s="16">
        <f t="shared" si="27"/>
        <v>1</v>
      </c>
      <c r="R106" s="17">
        <f t="shared" si="29"/>
        <v>1</v>
      </c>
      <c r="S106" s="17">
        <f t="shared" ref="S106:S124" si="31">(1+$S$67)^(-S82)</f>
        <v>1</v>
      </c>
      <c r="T106" s="17">
        <f>(1+$T$67)^(-T82)</f>
        <v>0.99900974943594778</v>
      </c>
      <c r="U106" s="17">
        <f t="shared" ref="U106:AL106" si="32">(1+$T$67)^(-U82)</f>
        <v>0.99802047946807504</v>
      </c>
      <c r="V106" s="17">
        <f t="shared" si="32"/>
        <v>0.99703218912534608</v>
      </c>
      <c r="W106" s="17">
        <f t="shared" si="32"/>
        <v>0.99604487743768633</v>
      </c>
      <c r="X106" s="17">
        <f t="shared" si="32"/>
        <v>0.99505854343598243</v>
      </c>
      <c r="Y106" s="17">
        <f t="shared" si="32"/>
        <v>0.99407318615207985</v>
      </c>
      <c r="Z106" s="17">
        <f t="shared" si="32"/>
        <v>0.99308880461878357</v>
      </c>
      <c r="AA106" s="17">
        <f t="shared" si="32"/>
        <v>0.99210539786985585</v>
      </c>
      <c r="AB106" s="17">
        <f t="shared" si="32"/>
        <v>0.99112296494001595</v>
      </c>
      <c r="AC106" s="17">
        <f t="shared" si="32"/>
        <v>0.9901415048649389</v>
      </c>
      <c r="AD106" s="17">
        <f t="shared" si="32"/>
        <v>0.9901415048649389</v>
      </c>
      <c r="AE106" s="17">
        <f t="shared" si="32"/>
        <v>0.9901415048649389</v>
      </c>
      <c r="AF106" s="17">
        <f t="shared" si="32"/>
        <v>0.9901415048649389</v>
      </c>
      <c r="AG106" s="17">
        <f t="shared" si="32"/>
        <v>0.9901415048649389</v>
      </c>
      <c r="AH106" s="17">
        <f t="shared" si="32"/>
        <v>0.9901415048649389</v>
      </c>
      <c r="AI106" s="17">
        <f t="shared" si="32"/>
        <v>0.9901415048649389</v>
      </c>
      <c r="AJ106" s="17">
        <f t="shared" si="32"/>
        <v>0.9901415048649389</v>
      </c>
      <c r="AK106" s="17">
        <f t="shared" si="32"/>
        <v>0.9901415048649389</v>
      </c>
      <c r="AL106" s="17">
        <f t="shared" si="32"/>
        <v>0.9901415048649389</v>
      </c>
      <c r="AO106" s="8">
        <f>ROW()</f>
        <v>106</v>
      </c>
    </row>
    <row r="107" spans="1:41" ht="13.9" customHeight="1" x14ac:dyDescent="0.2">
      <c r="B107" s="41" t="s">
        <v>372</v>
      </c>
      <c r="C107" s="41"/>
      <c r="I107">
        <f t="shared" si="24"/>
        <v>2017</v>
      </c>
      <c r="K107" s="3"/>
      <c r="L107" s="3"/>
      <c r="M107" s="129"/>
      <c r="N107" s="129"/>
      <c r="O107" s="129"/>
      <c r="P107" s="16">
        <f t="shared" si="26"/>
        <v>1</v>
      </c>
      <c r="Q107" s="16">
        <f t="shared" si="27"/>
        <v>1</v>
      </c>
      <c r="R107" s="17">
        <f t="shared" si="29"/>
        <v>1</v>
      </c>
      <c r="S107" s="17">
        <f t="shared" si="31"/>
        <v>1</v>
      </c>
      <c r="T107" s="17">
        <f t="shared" ref="T107:T124" si="33">(1+$T$67)^(-T83)</f>
        <v>1</v>
      </c>
      <c r="U107" s="17">
        <f>(1+$U$67)^(-U83)</f>
        <v>0.9989967666826125</v>
      </c>
      <c r="V107" s="17">
        <f t="shared" ref="V107:AL107" si="34">(1+$U$67)^(-V83)</f>
        <v>0.99799453984231401</v>
      </c>
      <c r="W107" s="17">
        <f t="shared" si="34"/>
        <v>0.99699331846937334</v>
      </c>
      <c r="X107" s="17">
        <f t="shared" si="34"/>
        <v>0.99599310155507226</v>
      </c>
      <c r="Y107" s="17">
        <f t="shared" si="34"/>
        <v>0.99499388809170408</v>
      </c>
      <c r="Z107" s="17">
        <f t="shared" si="34"/>
        <v>0.99399567707257341</v>
      </c>
      <c r="AA107" s="17">
        <f t="shared" si="34"/>
        <v>0.99299846749199505</v>
      </c>
      <c r="AB107" s="17">
        <f t="shared" si="34"/>
        <v>0.99200225834529254</v>
      </c>
      <c r="AC107" s="17">
        <f t="shared" si="34"/>
        <v>0.99100704862879685</v>
      </c>
      <c r="AD107" s="17">
        <f t="shared" si="34"/>
        <v>0.99001283733984635</v>
      </c>
      <c r="AE107" s="17">
        <f t="shared" si="34"/>
        <v>0.99001283733984635</v>
      </c>
      <c r="AF107" s="17">
        <f t="shared" si="34"/>
        <v>0.99001283733984635</v>
      </c>
      <c r="AG107" s="17">
        <f t="shared" si="34"/>
        <v>0.99001283733984635</v>
      </c>
      <c r="AH107" s="17">
        <f t="shared" si="34"/>
        <v>0.99001283733984635</v>
      </c>
      <c r="AI107" s="17">
        <f t="shared" si="34"/>
        <v>0.99001283733984635</v>
      </c>
      <c r="AJ107" s="17">
        <f t="shared" si="34"/>
        <v>0.99001283733984635</v>
      </c>
      <c r="AK107" s="17">
        <f t="shared" si="34"/>
        <v>0.99001283733984635</v>
      </c>
      <c r="AL107" s="17">
        <f t="shared" si="34"/>
        <v>0.99001283733984635</v>
      </c>
      <c r="AO107" s="8">
        <f>ROW()</f>
        <v>107</v>
      </c>
    </row>
    <row r="108" spans="1:41" ht="13.9" customHeight="1" x14ac:dyDescent="0.2">
      <c r="B108" s="41" t="s">
        <v>372</v>
      </c>
      <c r="C108" s="41"/>
      <c r="I108">
        <f t="shared" si="24"/>
        <v>2018</v>
      </c>
      <c r="K108" s="3"/>
      <c r="L108" s="3"/>
      <c r="M108" s="129"/>
      <c r="N108" s="129"/>
      <c r="O108" s="129"/>
      <c r="P108" s="16">
        <f t="shared" si="26"/>
        <v>1</v>
      </c>
      <c r="Q108" s="16">
        <f t="shared" si="27"/>
        <v>1</v>
      </c>
      <c r="R108" s="17">
        <f t="shared" si="29"/>
        <v>1</v>
      </c>
      <c r="S108" s="17">
        <f t="shared" si="31"/>
        <v>1</v>
      </c>
      <c r="T108" s="17">
        <f t="shared" si="33"/>
        <v>1</v>
      </c>
      <c r="U108" s="17">
        <f t="shared" ref="U108:U124" si="35">(1+$U$67)^(-U84)</f>
        <v>1</v>
      </c>
      <c r="V108" s="17">
        <f>(1+$V$67)^(-V84)</f>
        <v>0.99898298041984201</v>
      </c>
      <c r="W108" s="17">
        <f t="shared" ref="W108:AL108" si="36">(1+$V$67)^(-W84)</f>
        <v>0.99796699516851073</v>
      </c>
      <c r="X108" s="17">
        <f t="shared" si="36"/>
        <v>0.99695204319407293</v>
      </c>
      <c r="Y108" s="17">
        <f t="shared" si="36"/>
        <v>0.99593812344566601</v>
      </c>
      <c r="Z108" s="17">
        <f t="shared" si="36"/>
        <v>0.99492523487349604</v>
      </c>
      <c r="AA108" s="17">
        <f t="shared" si="36"/>
        <v>0.99391337642883659</v>
      </c>
      <c r="AB108" s="17">
        <f t="shared" si="36"/>
        <v>0.99290254706402747</v>
      </c>
      <c r="AC108" s="17">
        <f t="shared" si="36"/>
        <v>0.99189274573247477</v>
      </c>
      <c r="AD108" s="17">
        <f t="shared" si="36"/>
        <v>0.99088397138864814</v>
      </c>
      <c r="AE108" s="17">
        <f t="shared" si="36"/>
        <v>0.98987622298808131</v>
      </c>
      <c r="AF108" s="17">
        <f t="shared" si="36"/>
        <v>0.98987622298808131</v>
      </c>
      <c r="AG108" s="17">
        <f t="shared" si="36"/>
        <v>0.98987622298808131</v>
      </c>
      <c r="AH108" s="17">
        <f t="shared" si="36"/>
        <v>0.98987622298808131</v>
      </c>
      <c r="AI108" s="17">
        <f t="shared" si="36"/>
        <v>0.98987622298808131</v>
      </c>
      <c r="AJ108" s="17">
        <f t="shared" si="36"/>
        <v>0.98987622298808131</v>
      </c>
      <c r="AK108" s="17">
        <f t="shared" si="36"/>
        <v>0.98987622298808131</v>
      </c>
      <c r="AL108" s="17">
        <f t="shared" si="36"/>
        <v>0.98987622298808131</v>
      </c>
      <c r="AO108" s="8">
        <f>ROW()</f>
        <v>108</v>
      </c>
    </row>
    <row r="109" spans="1:41" ht="13.9" customHeight="1" x14ac:dyDescent="0.2">
      <c r="B109" s="41" t="s">
        <v>372</v>
      </c>
      <c r="C109" s="41"/>
      <c r="I109">
        <f t="shared" si="24"/>
        <v>2019</v>
      </c>
      <c r="K109" s="3"/>
      <c r="L109" s="3"/>
      <c r="M109" s="129"/>
      <c r="N109" s="129"/>
      <c r="O109" s="129"/>
      <c r="P109" s="16">
        <f t="shared" si="26"/>
        <v>1</v>
      </c>
      <c r="Q109" s="16">
        <f t="shared" si="27"/>
        <v>1</v>
      </c>
      <c r="R109" s="17">
        <f t="shared" si="29"/>
        <v>1</v>
      </c>
      <c r="S109" s="17">
        <f t="shared" si="31"/>
        <v>1</v>
      </c>
      <c r="T109" s="17">
        <f t="shared" si="33"/>
        <v>1</v>
      </c>
      <c r="U109" s="17">
        <f t="shared" si="35"/>
        <v>1</v>
      </c>
      <c r="V109" s="17">
        <f t="shared" ref="V109:V124" si="37">(1+$V$67)^(-V85)</f>
        <v>1</v>
      </c>
      <c r="W109" s="17">
        <f t="shared" ref="W109:AL109" si="38">(1+$W$67)^(-W85)</f>
        <v>0.99896835905954484</v>
      </c>
      <c r="X109" s="17">
        <f t="shared" si="38"/>
        <v>0.99793778240211972</v>
      </c>
      <c r="Y109" s="17">
        <f t="shared" si="38"/>
        <v>0.99690826892976681</v>
      </c>
      <c r="Z109" s="17">
        <f t="shared" si="38"/>
        <v>0.99587981754566046</v>
      </c>
      <c r="AA109" s="17">
        <f t="shared" si="38"/>
        <v>0.99485242715410727</v>
      </c>
      <c r="AB109" s="17">
        <f t="shared" si="38"/>
        <v>0.993826096660544</v>
      </c>
      <c r="AC109" s="17">
        <f t="shared" si="38"/>
        <v>0.99280082497153621</v>
      </c>
      <c r="AD109" s="17">
        <f t="shared" si="38"/>
        <v>0.99177661099477787</v>
      </c>
      <c r="AE109" s="17">
        <f t="shared" si="38"/>
        <v>0.99075345363908984</v>
      </c>
      <c r="AF109" s="17">
        <f t="shared" si="38"/>
        <v>0.9897313518144184</v>
      </c>
      <c r="AG109" s="17">
        <f t="shared" si="38"/>
        <v>0.9897313518144184</v>
      </c>
      <c r="AH109" s="17">
        <f t="shared" si="38"/>
        <v>0.9897313518144184</v>
      </c>
      <c r="AI109" s="17">
        <f t="shared" si="38"/>
        <v>0.9897313518144184</v>
      </c>
      <c r="AJ109" s="17">
        <f t="shared" si="38"/>
        <v>0.9897313518144184</v>
      </c>
      <c r="AK109" s="17">
        <f t="shared" si="38"/>
        <v>0.9897313518144184</v>
      </c>
      <c r="AL109" s="17">
        <f t="shared" si="38"/>
        <v>0.9897313518144184</v>
      </c>
      <c r="AO109" s="8">
        <f>ROW()</f>
        <v>109</v>
      </c>
    </row>
    <row r="110" spans="1:41" ht="13.9" customHeight="1" x14ac:dyDescent="0.2">
      <c r="B110" s="41" t="s">
        <v>372</v>
      </c>
      <c r="C110" s="41"/>
      <c r="I110">
        <f t="shared" si="24"/>
        <v>2020</v>
      </c>
      <c r="M110" s="84"/>
      <c r="P110" s="16">
        <f t="shared" si="26"/>
        <v>1</v>
      </c>
      <c r="Q110" s="16">
        <f t="shared" si="27"/>
        <v>1</v>
      </c>
      <c r="R110" s="17">
        <f t="shared" si="29"/>
        <v>1</v>
      </c>
      <c r="S110" s="17">
        <f t="shared" si="31"/>
        <v>1</v>
      </c>
      <c r="T110" s="17">
        <f t="shared" si="33"/>
        <v>1</v>
      </c>
      <c r="U110" s="17">
        <f t="shared" si="35"/>
        <v>1</v>
      </c>
      <c r="V110" s="17">
        <f t="shared" si="37"/>
        <v>1</v>
      </c>
      <c r="W110" s="17">
        <f t="shared" ref="W110:W124" si="39">(1+$W$67)^(-W86)</f>
        <v>1</v>
      </c>
      <c r="X110" s="17">
        <f>(1+$X$67)^(-X86)</f>
        <v>0.99895287281335932</v>
      </c>
      <c r="Y110" s="17">
        <f t="shared" ref="Y110:AL110" si="40">(1+$X$67)^(-Y86)</f>
        <v>0.99790684210206371</v>
      </c>
      <c r="Z110" s="17">
        <f t="shared" si="40"/>
        <v>0.99686190671796393</v>
      </c>
      <c r="AA110" s="17">
        <f t="shared" si="40"/>
        <v>0.99581806551411312</v>
      </c>
      <c r="AB110" s="17">
        <f t="shared" si="40"/>
        <v>0.99477531734476543</v>
      </c>
      <c r="AC110" s="17">
        <f t="shared" si="40"/>
        <v>0.99373366106537453</v>
      </c>
      <c r="AD110" s="17">
        <f t="shared" si="40"/>
        <v>0.992693095532593</v>
      </c>
      <c r="AE110" s="17">
        <f t="shared" si="40"/>
        <v>0.99165361960427034</v>
      </c>
      <c r="AF110" s="17">
        <f t="shared" si="40"/>
        <v>0.99061523213945213</v>
      </c>
      <c r="AG110" s="17">
        <f t="shared" si="40"/>
        <v>0.98957793199837851</v>
      </c>
      <c r="AH110" s="17">
        <f t="shared" si="40"/>
        <v>0.98957793199837851</v>
      </c>
      <c r="AI110" s="17">
        <f t="shared" si="40"/>
        <v>0.98957793199837851</v>
      </c>
      <c r="AJ110" s="17">
        <f t="shared" si="40"/>
        <v>0.98957793199837851</v>
      </c>
      <c r="AK110" s="17">
        <f t="shared" si="40"/>
        <v>0.98957793199837851</v>
      </c>
      <c r="AL110" s="17">
        <f t="shared" si="40"/>
        <v>0.98957793199837851</v>
      </c>
      <c r="AO110" s="8">
        <f>ROW()</f>
        <v>110</v>
      </c>
    </row>
    <row r="111" spans="1:41" ht="13.9" customHeight="1" x14ac:dyDescent="0.2">
      <c r="B111" s="41" t="s">
        <v>372</v>
      </c>
      <c r="C111" s="41"/>
      <c r="I111">
        <f t="shared" si="24"/>
        <v>2021</v>
      </c>
      <c r="M111" s="84"/>
      <c r="P111" s="16">
        <f t="shared" si="26"/>
        <v>1</v>
      </c>
      <c r="Q111" s="16">
        <f t="shared" si="27"/>
        <v>1</v>
      </c>
      <c r="R111" s="17">
        <f t="shared" si="29"/>
        <v>1</v>
      </c>
      <c r="S111" s="17">
        <f t="shared" si="31"/>
        <v>1</v>
      </c>
      <c r="T111" s="17">
        <f t="shared" si="33"/>
        <v>1</v>
      </c>
      <c r="U111" s="17">
        <f t="shared" si="35"/>
        <v>1</v>
      </c>
      <c r="V111" s="17">
        <f t="shared" si="37"/>
        <v>1</v>
      </c>
      <c r="W111" s="17">
        <f t="shared" si="39"/>
        <v>1</v>
      </c>
      <c r="X111" s="17">
        <f>(1+$X$67)^(-X87)</f>
        <v>1</v>
      </c>
      <c r="Y111" s="17">
        <f>(1+$Y$67)^(-Y87)</f>
        <v>0.9989364943325495</v>
      </c>
      <c r="Z111" s="17">
        <f t="shared" ref="Z111:AL111" si="41">(1+$Y$67)^(-Z87)</f>
        <v>0.99787411970940365</v>
      </c>
      <c r="AA111" s="17">
        <f t="shared" si="41"/>
        <v>0.99681287492769055</v>
      </c>
      <c r="AB111" s="17">
        <f t="shared" si="41"/>
        <v>0.99575275878581726</v>
      </c>
      <c r="AC111" s="17">
        <f t="shared" si="41"/>
        <v>0.99469377008346915</v>
      </c>
      <c r="AD111" s="17">
        <f t="shared" si="41"/>
        <v>0.99363590762160769</v>
      </c>
      <c r="AE111" s="17">
        <f t="shared" si="41"/>
        <v>0.99257917020246966</v>
      </c>
      <c r="AF111" s="17">
        <f t="shared" si="41"/>
        <v>0.99152355662956615</v>
      </c>
      <c r="AG111" s="17">
        <f t="shared" si="41"/>
        <v>0.99046906570767979</v>
      </c>
      <c r="AH111" s="17">
        <f t="shared" si="41"/>
        <v>0.98941569624286529</v>
      </c>
      <c r="AI111" s="17">
        <f t="shared" si="41"/>
        <v>0.98941569624286529</v>
      </c>
      <c r="AJ111" s="17">
        <f t="shared" si="41"/>
        <v>0.98941569624286529</v>
      </c>
      <c r="AK111" s="17">
        <f t="shared" si="41"/>
        <v>0.98941569624286529</v>
      </c>
      <c r="AL111" s="17">
        <f t="shared" si="41"/>
        <v>0.98941569624286529</v>
      </c>
      <c r="AO111" s="8">
        <f>ROW()</f>
        <v>111</v>
      </c>
    </row>
    <row r="112" spans="1:41" ht="13.9" customHeight="1" x14ac:dyDescent="0.2">
      <c r="B112" s="41" t="s">
        <v>372</v>
      </c>
      <c r="C112" s="41"/>
      <c r="I112">
        <f t="shared" si="24"/>
        <v>2022</v>
      </c>
      <c r="M112" s="84"/>
      <c r="P112" s="16">
        <f t="shared" si="26"/>
        <v>1</v>
      </c>
      <c r="Q112" s="16">
        <f t="shared" si="27"/>
        <v>1</v>
      </c>
      <c r="R112" s="17">
        <f t="shared" si="29"/>
        <v>1</v>
      </c>
      <c r="S112" s="17">
        <f t="shared" si="31"/>
        <v>1</v>
      </c>
      <c r="T112" s="17">
        <f t="shared" si="33"/>
        <v>1</v>
      </c>
      <c r="U112" s="17">
        <f t="shared" si="35"/>
        <v>1</v>
      </c>
      <c r="V112" s="17">
        <f t="shared" si="37"/>
        <v>1</v>
      </c>
      <c r="W112" s="17">
        <f t="shared" si="39"/>
        <v>1</v>
      </c>
      <c r="X112" s="17">
        <f>(1+$X$67)^(-X88)</f>
        <v>1</v>
      </c>
      <c r="Y112" s="17">
        <f>(1+$Y$67)^(-Y88)</f>
        <v>1</v>
      </c>
      <c r="Z112" s="17">
        <f>(1+$Z$67)^(-Z88)</f>
        <v>0.9989191994361627</v>
      </c>
      <c r="AA112" s="17">
        <f t="shared" ref="AA112:AL112" si="42">(1+$Z$67)^(-AA88)</f>
        <v>0.99783956700218424</v>
      </c>
      <c r="AB112" s="17">
        <f t="shared" si="42"/>
        <v>0.99676110143554919</v>
      </c>
      <c r="AC112" s="17">
        <f t="shared" si="42"/>
        <v>0.99568380147510638</v>
      </c>
      <c r="AD112" s="17">
        <f t="shared" si="42"/>
        <v>0.99460766586106841</v>
      </c>
      <c r="AE112" s="17">
        <f t="shared" si="42"/>
        <v>0.99353269333500893</v>
      </c>
      <c r="AF112" s="17">
        <f t="shared" si="42"/>
        <v>0.99245888263986171</v>
      </c>
      <c r="AG112" s="17">
        <f t="shared" si="42"/>
        <v>0.9913862325199192</v>
      </c>
      <c r="AH112" s="17">
        <f t="shared" si="42"/>
        <v>0.99031474172083112</v>
      </c>
      <c r="AI112" s="17">
        <f t="shared" si="42"/>
        <v>0.98924440898960297</v>
      </c>
      <c r="AJ112" s="17">
        <f t="shared" si="42"/>
        <v>0.98924440898960297</v>
      </c>
      <c r="AK112" s="17">
        <f t="shared" si="42"/>
        <v>0.98924440898960297</v>
      </c>
      <c r="AL112" s="17">
        <f t="shared" si="42"/>
        <v>0.98924440898960297</v>
      </c>
      <c r="AO112" s="8">
        <f>ROW()</f>
        <v>112</v>
      </c>
    </row>
    <row r="113" spans="2:41" ht="13.9" customHeight="1" x14ac:dyDescent="0.2">
      <c r="B113" s="41" t="s">
        <v>372</v>
      </c>
      <c r="C113" s="41"/>
      <c r="I113">
        <f t="shared" si="24"/>
        <v>2023</v>
      </c>
      <c r="M113" s="84"/>
      <c r="P113" s="16">
        <f t="shared" si="26"/>
        <v>1</v>
      </c>
      <c r="Q113" s="16">
        <f t="shared" si="27"/>
        <v>1</v>
      </c>
      <c r="R113" s="17">
        <f t="shared" si="29"/>
        <v>1</v>
      </c>
      <c r="S113" s="17">
        <f t="shared" si="31"/>
        <v>1</v>
      </c>
      <c r="T113" s="17">
        <f t="shared" si="33"/>
        <v>1</v>
      </c>
      <c r="U113" s="17">
        <f t="shared" si="35"/>
        <v>1</v>
      </c>
      <c r="V113" s="17">
        <f t="shared" si="37"/>
        <v>1</v>
      </c>
      <c r="W113" s="17">
        <f t="shared" si="39"/>
        <v>1</v>
      </c>
      <c r="X113" s="17">
        <f>(1+$X$67)^(-X89)</f>
        <v>1</v>
      </c>
      <c r="Y113" s="17">
        <f>(1+$Y$67)^(-Y89)</f>
        <v>1</v>
      </c>
      <c r="Z113" s="17">
        <f>(1+$Z$67)^(-Z89)</f>
        <v>1</v>
      </c>
      <c r="AA113" s="17">
        <f>(1+$AA$67)^(-AA89)</f>
        <v>0.99890096793231031</v>
      </c>
      <c r="AB113" s="17">
        <f t="shared" ref="AB113:AL113" si="43">(1+$AA$67)^(-AB89)</f>
        <v>0.99780314373610624</v>
      </c>
      <c r="AC113" s="17">
        <f t="shared" si="43"/>
        <v>0.99670652608389865</v>
      </c>
      <c r="AD113" s="17">
        <f t="shared" si="43"/>
        <v>0.99561111364965671</v>
      </c>
      <c r="AE113" s="17">
        <f t="shared" si="43"/>
        <v>0.99451690510880753</v>
      </c>
      <c r="AF113" s="17">
        <f t="shared" si="43"/>
        <v>0.99342389913823326</v>
      </c>
      <c r="AG113" s="17">
        <f t="shared" si="43"/>
        <v>0.99233209441627102</v>
      </c>
      <c r="AH113" s="17">
        <f t="shared" si="43"/>
        <v>0.99124148962270964</v>
      </c>
      <c r="AI113" s="17">
        <f t="shared" si="43"/>
        <v>0.99015208343878969</v>
      </c>
      <c r="AJ113" s="17">
        <f t="shared" si="43"/>
        <v>0.98906387454720079</v>
      </c>
      <c r="AK113" s="17">
        <f t="shared" si="43"/>
        <v>0.98906387454720079</v>
      </c>
      <c r="AL113" s="17">
        <f t="shared" si="43"/>
        <v>0.98906387454720079</v>
      </c>
      <c r="AO113" s="8">
        <f>ROW()</f>
        <v>113</v>
      </c>
    </row>
    <row r="114" spans="2:41" ht="13.9" customHeight="1" x14ac:dyDescent="0.2">
      <c r="B114" s="41" t="s">
        <v>372</v>
      </c>
      <c r="C114" s="41"/>
      <c r="I114">
        <f t="shared" si="24"/>
        <v>2024</v>
      </c>
      <c r="M114" s="84"/>
      <c r="P114" s="16">
        <f t="shared" si="26"/>
        <v>1</v>
      </c>
      <c r="Q114" s="16">
        <f t="shared" si="27"/>
        <v>1</v>
      </c>
      <c r="R114" s="17">
        <f t="shared" si="29"/>
        <v>1</v>
      </c>
      <c r="S114" s="17">
        <f t="shared" si="31"/>
        <v>1</v>
      </c>
      <c r="T114" s="17">
        <f t="shared" si="33"/>
        <v>1</v>
      </c>
      <c r="U114" s="17">
        <f t="shared" si="35"/>
        <v>1</v>
      </c>
      <c r="V114" s="17">
        <f t="shared" si="37"/>
        <v>1</v>
      </c>
      <c r="W114" s="17">
        <f t="shared" si="39"/>
        <v>1</v>
      </c>
      <c r="X114" s="17">
        <f>(1+$X$67)^(-X90)</f>
        <v>1</v>
      </c>
      <c r="Y114" s="17">
        <f>(1+$Y$67)^(-Y90)</f>
        <v>1</v>
      </c>
      <c r="Z114" s="17">
        <f>(1+$Z$67)^(-Z90)</f>
        <v>1</v>
      </c>
      <c r="AA114" s="17">
        <f>(1+$AA$67)^(-AA90)</f>
        <v>1</v>
      </c>
      <c r="AB114" s="17">
        <f>(1+$AB$67)^(-AB90)</f>
        <v>0.9988817845362381</v>
      </c>
      <c r="AC114" s="17">
        <f t="shared" ref="AC114:AL114" si="44">(1+$AB$67)^(-AC90)</f>
        <v>0.99776481947829943</v>
      </c>
      <c r="AD114" s="17">
        <f t="shared" si="44"/>
        <v>0.99664910342796109</v>
      </c>
      <c r="AE114" s="17">
        <f t="shared" si="44"/>
        <v>0.99553463498856343</v>
      </c>
      <c r="AF114" s="17">
        <f t="shared" si="44"/>
        <v>0.99442141276500862</v>
      </c>
      <c r="AG114" s="17">
        <f t="shared" si="44"/>
        <v>0.99330943536375893</v>
      </c>
      <c r="AH114" s="17">
        <f t="shared" si="44"/>
        <v>0.9921987013928345</v>
      </c>
      <c r="AI114" s="17">
        <f t="shared" si="44"/>
        <v>0.99108920946181245</v>
      </c>
      <c r="AJ114" s="17">
        <f t="shared" si="44"/>
        <v>0.98998095818182452</v>
      </c>
      <c r="AK114" s="17">
        <f t="shared" si="44"/>
        <v>0.98887394616555579</v>
      </c>
      <c r="AL114" s="17">
        <f t="shared" si="44"/>
        <v>0.98887394616555579</v>
      </c>
      <c r="AO114" s="8">
        <f>ROW()</f>
        <v>114</v>
      </c>
    </row>
    <row r="115" spans="2:41" ht="13.9" customHeight="1" x14ac:dyDescent="0.2">
      <c r="B115" s="41" t="s">
        <v>372</v>
      </c>
      <c r="I115">
        <f t="shared" si="24"/>
        <v>2025</v>
      </c>
      <c r="M115" s="84"/>
      <c r="P115" s="16">
        <f t="shared" si="26"/>
        <v>1</v>
      </c>
      <c r="Q115" s="16">
        <f t="shared" si="27"/>
        <v>1</v>
      </c>
      <c r="R115" s="17">
        <f t="shared" si="29"/>
        <v>1</v>
      </c>
      <c r="S115" s="17">
        <f t="shared" si="31"/>
        <v>1</v>
      </c>
      <c r="T115" s="17">
        <f t="shared" si="33"/>
        <v>1</v>
      </c>
      <c r="U115" s="17">
        <f t="shared" si="35"/>
        <v>1</v>
      </c>
      <c r="V115" s="17">
        <f t="shared" si="37"/>
        <v>1</v>
      </c>
      <c r="W115" s="17">
        <f t="shared" si="39"/>
        <v>1</v>
      </c>
      <c r="X115" s="17">
        <f t="shared" ref="X115:X124" si="45">(1+$X$67)^(-X91)</f>
        <v>1</v>
      </c>
      <c r="Y115" s="17">
        <f t="shared" ref="Y115:Y124" si="46">(1+$Y$67)^(-Y91)</f>
        <v>1</v>
      </c>
      <c r="Z115" s="17">
        <f t="shared" ref="Z115:Z124" si="47">(1+$Z$67)^(-Z91)</f>
        <v>1</v>
      </c>
      <c r="AA115" s="17">
        <f t="shared" ref="AA115:AA124" si="48">(1+$AA$67)^(-AA91)</f>
        <v>1</v>
      </c>
      <c r="AB115" s="17">
        <f t="shared" ref="AB115:AL124" si="49">(1+$AB$67)^(-AB91)</f>
        <v>1</v>
      </c>
      <c r="AC115" s="17">
        <f t="shared" si="49"/>
        <v>0.9988817845362381</v>
      </c>
      <c r="AD115" s="17">
        <f t="shared" si="49"/>
        <v>0.99776481947829943</v>
      </c>
      <c r="AE115" s="17">
        <f t="shared" si="49"/>
        <v>0.99664910342796109</v>
      </c>
      <c r="AF115" s="17">
        <f t="shared" si="49"/>
        <v>0.99553463498856343</v>
      </c>
      <c r="AG115" s="17">
        <f t="shared" si="49"/>
        <v>0.99442141276500862</v>
      </c>
      <c r="AH115" s="17">
        <f t="shared" si="49"/>
        <v>0.99330943536375893</v>
      </c>
      <c r="AI115" s="17">
        <f t="shared" si="49"/>
        <v>0.9921987013928345</v>
      </c>
      <c r="AJ115" s="17">
        <f t="shared" si="49"/>
        <v>0.99108920946181245</v>
      </c>
      <c r="AK115" s="17">
        <f t="shared" si="49"/>
        <v>0.98998095818182452</v>
      </c>
      <c r="AL115" s="17">
        <f t="shared" si="49"/>
        <v>0.98887394616555579</v>
      </c>
      <c r="AO115" s="8">
        <f>ROW()</f>
        <v>115</v>
      </c>
    </row>
    <row r="116" spans="2:41" ht="13.9" customHeight="1" x14ac:dyDescent="0.2">
      <c r="B116" s="41" t="s">
        <v>372</v>
      </c>
      <c r="I116">
        <f t="shared" si="24"/>
        <v>2026</v>
      </c>
      <c r="M116" s="84"/>
      <c r="P116" s="16">
        <f t="shared" si="26"/>
        <v>1</v>
      </c>
      <c r="Q116" s="16">
        <f t="shared" si="27"/>
        <v>1</v>
      </c>
      <c r="R116" s="17">
        <f t="shared" si="29"/>
        <v>1</v>
      </c>
      <c r="S116" s="17">
        <f t="shared" si="31"/>
        <v>1</v>
      </c>
      <c r="T116" s="17">
        <f t="shared" si="33"/>
        <v>1</v>
      </c>
      <c r="U116" s="17">
        <f t="shared" si="35"/>
        <v>1</v>
      </c>
      <c r="V116" s="17">
        <f t="shared" si="37"/>
        <v>1</v>
      </c>
      <c r="W116" s="17">
        <f t="shared" si="39"/>
        <v>1</v>
      </c>
      <c r="X116" s="17">
        <f t="shared" si="45"/>
        <v>1</v>
      </c>
      <c r="Y116" s="17">
        <f t="shared" si="46"/>
        <v>1</v>
      </c>
      <c r="Z116" s="17">
        <f t="shared" si="47"/>
        <v>1</v>
      </c>
      <c r="AA116" s="17">
        <f t="shared" si="48"/>
        <v>1</v>
      </c>
      <c r="AB116" s="17">
        <f t="shared" si="49"/>
        <v>1</v>
      </c>
      <c r="AC116" s="17">
        <f t="shared" si="49"/>
        <v>1</v>
      </c>
      <c r="AD116" s="17">
        <f t="shared" si="49"/>
        <v>0.9988817845362381</v>
      </c>
      <c r="AE116" s="17">
        <f t="shared" si="49"/>
        <v>0.99776481947829943</v>
      </c>
      <c r="AF116" s="17">
        <f t="shared" si="49"/>
        <v>0.99664910342796109</v>
      </c>
      <c r="AG116" s="17">
        <f t="shared" si="49"/>
        <v>0.99553463498856343</v>
      </c>
      <c r="AH116" s="17">
        <f t="shared" si="49"/>
        <v>0.99442141276500862</v>
      </c>
      <c r="AI116" s="17">
        <f t="shared" si="49"/>
        <v>0.99330943536375893</v>
      </c>
      <c r="AJ116" s="17">
        <f t="shared" si="49"/>
        <v>0.9921987013928345</v>
      </c>
      <c r="AK116" s="17">
        <f t="shared" si="49"/>
        <v>0.99108920946181245</v>
      </c>
      <c r="AL116" s="17">
        <f t="shared" si="49"/>
        <v>0.98998095818182452</v>
      </c>
      <c r="AO116" s="8">
        <f>ROW()</f>
        <v>116</v>
      </c>
    </row>
    <row r="117" spans="2:41" ht="13.9" customHeight="1" x14ac:dyDescent="0.2">
      <c r="B117" s="41" t="s">
        <v>372</v>
      </c>
      <c r="I117">
        <f t="shared" si="24"/>
        <v>2027</v>
      </c>
      <c r="M117" s="84"/>
      <c r="P117" s="16">
        <f t="shared" si="26"/>
        <v>1</v>
      </c>
      <c r="Q117" s="16">
        <f t="shared" si="27"/>
        <v>1</v>
      </c>
      <c r="R117" s="17">
        <f t="shared" si="29"/>
        <v>1</v>
      </c>
      <c r="S117" s="17">
        <f t="shared" si="31"/>
        <v>1</v>
      </c>
      <c r="T117" s="17">
        <f t="shared" si="33"/>
        <v>1</v>
      </c>
      <c r="U117" s="17">
        <f t="shared" si="35"/>
        <v>1</v>
      </c>
      <c r="V117" s="17">
        <f t="shared" si="37"/>
        <v>1</v>
      </c>
      <c r="W117" s="17">
        <f t="shared" si="39"/>
        <v>1</v>
      </c>
      <c r="X117" s="17">
        <f t="shared" si="45"/>
        <v>1</v>
      </c>
      <c r="Y117" s="17">
        <f t="shared" si="46"/>
        <v>1</v>
      </c>
      <c r="Z117" s="17">
        <f t="shared" si="47"/>
        <v>1</v>
      </c>
      <c r="AA117" s="17">
        <f t="shared" si="48"/>
        <v>1</v>
      </c>
      <c r="AB117" s="17">
        <f t="shared" si="49"/>
        <v>1</v>
      </c>
      <c r="AC117" s="17">
        <f t="shared" si="49"/>
        <v>1</v>
      </c>
      <c r="AD117" s="17">
        <f t="shared" si="49"/>
        <v>1</v>
      </c>
      <c r="AE117" s="17">
        <f t="shared" si="49"/>
        <v>0.9988817845362381</v>
      </c>
      <c r="AF117" s="17">
        <f t="shared" si="49"/>
        <v>0.99776481947829943</v>
      </c>
      <c r="AG117" s="17">
        <f t="shared" si="49"/>
        <v>0.99664910342796109</v>
      </c>
      <c r="AH117" s="17">
        <f t="shared" si="49"/>
        <v>0.99553463498856343</v>
      </c>
      <c r="AI117" s="17">
        <f t="shared" si="49"/>
        <v>0.99442141276500862</v>
      </c>
      <c r="AJ117" s="17">
        <f t="shared" si="49"/>
        <v>0.99330943536375893</v>
      </c>
      <c r="AK117" s="17">
        <f t="shared" si="49"/>
        <v>0.9921987013928345</v>
      </c>
      <c r="AL117" s="17">
        <f t="shared" si="49"/>
        <v>0.99108920946181245</v>
      </c>
      <c r="AO117" s="8">
        <f>ROW()</f>
        <v>117</v>
      </c>
    </row>
    <row r="118" spans="2:41" ht="13.9" customHeight="1" x14ac:dyDescent="0.2">
      <c r="B118" s="41" t="s">
        <v>372</v>
      </c>
      <c r="I118">
        <f t="shared" si="24"/>
        <v>2028</v>
      </c>
      <c r="M118" s="84"/>
      <c r="P118" s="16">
        <f t="shared" si="26"/>
        <v>1</v>
      </c>
      <c r="Q118" s="16">
        <f t="shared" si="27"/>
        <v>1</v>
      </c>
      <c r="R118" s="17">
        <f t="shared" si="29"/>
        <v>1</v>
      </c>
      <c r="S118" s="17">
        <f t="shared" si="31"/>
        <v>1</v>
      </c>
      <c r="T118" s="17">
        <f t="shared" si="33"/>
        <v>1</v>
      </c>
      <c r="U118" s="17">
        <f t="shared" si="35"/>
        <v>1</v>
      </c>
      <c r="V118" s="17">
        <f t="shared" si="37"/>
        <v>1</v>
      </c>
      <c r="W118" s="17">
        <f t="shared" si="39"/>
        <v>1</v>
      </c>
      <c r="X118" s="17">
        <f t="shared" si="45"/>
        <v>1</v>
      </c>
      <c r="Y118" s="17">
        <f t="shared" si="46"/>
        <v>1</v>
      </c>
      <c r="Z118" s="17">
        <f t="shared" si="47"/>
        <v>1</v>
      </c>
      <c r="AA118" s="17">
        <f t="shared" si="48"/>
        <v>1</v>
      </c>
      <c r="AB118" s="17">
        <f t="shared" si="49"/>
        <v>1</v>
      </c>
      <c r="AC118" s="17">
        <f t="shared" si="49"/>
        <v>1</v>
      </c>
      <c r="AD118" s="17">
        <f t="shared" si="49"/>
        <v>1</v>
      </c>
      <c r="AE118" s="17">
        <f t="shared" si="49"/>
        <v>1</v>
      </c>
      <c r="AF118" s="17">
        <f t="shared" si="49"/>
        <v>0.9988817845362381</v>
      </c>
      <c r="AG118" s="17">
        <f t="shared" si="49"/>
        <v>0.99776481947829943</v>
      </c>
      <c r="AH118" s="17">
        <f t="shared" si="49"/>
        <v>0.99664910342796109</v>
      </c>
      <c r="AI118" s="17">
        <f t="shared" si="49"/>
        <v>0.99553463498856343</v>
      </c>
      <c r="AJ118" s="17">
        <f t="shared" si="49"/>
        <v>0.99442141276500862</v>
      </c>
      <c r="AK118" s="17">
        <f t="shared" si="49"/>
        <v>0.99330943536375893</v>
      </c>
      <c r="AL118" s="17">
        <f t="shared" si="49"/>
        <v>0.9921987013928345</v>
      </c>
      <c r="AO118" s="8">
        <f>ROW()</f>
        <v>118</v>
      </c>
    </row>
    <row r="119" spans="2:41" ht="13.9" customHeight="1" x14ac:dyDescent="0.2">
      <c r="B119" s="41" t="s">
        <v>372</v>
      </c>
      <c r="I119">
        <f t="shared" si="24"/>
        <v>2029</v>
      </c>
      <c r="M119" s="84"/>
      <c r="P119" s="16">
        <f t="shared" si="26"/>
        <v>1</v>
      </c>
      <c r="Q119" s="16">
        <f t="shared" si="27"/>
        <v>1</v>
      </c>
      <c r="R119" s="17">
        <f t="shared" si="29"/>
        <v>1</v>
      </c>
      <c r="S119" s="17">
        <f t="shared" si="31"/>
        <v>1</v>
      </c>
      <c r="T119" s="17">
        <f t="shared" si="33"/>
        <v>1</v>
      </c>
      <c r="U119" s="17">
        <f t="shared" si="35"/>
        <v>1</v>
      </c>
      <c r="V119" s="17">
        <f t="shared" si="37"/>
        <v>1</v>
      </c>
      <c r="W119" s="17">
        <f t="shared" si="39"/>
        <v>1</v>
      </c>
      <c r="X119" s="17">
        <f t="shared" si="45"/>
        <v>1</v>
      </c>
      <c r="Y119" s="17">
        <f t="shared" si="46"/>
        <v>1</v>
      </c>
      <c r="Z119" s="17">
        <f t="shared" si="47"/>
        <v>1</v>
      </c>
      <c r="AA119" s="17">
        <f t="shared" si="48"/>
        <v>1</v>
      </c>
      <c r="AB119" s="17">
        <f t="shared" si="49"/>
        <v>1</v>
      </c>
      <c r="AC119" s="17">
        <f t="shared" si="49"/>
        <v>1</v>
      </c>
      <c r="AD119" s="17">
        <f t="shared" si="49"/>
        <v>1</v>
      </c>
      <c r="AE119" s="17">
        <f t="shared" si="49"/>
        <v>1</v>
      </c>
      <c r="AF119" s="17">
        <f t="shared" si="49"/>
        <v>1</v>
      </c>
      <c r="AG119" s="17">
        <f t="shared" si="49"/>
        <v>0.9988817845362381</v>
      </c>
      <c r="AH119" s="17">
        <f t="shared" si="49"/>
        <v>0.99776481947829943</v>
      </c>
      <c r="AI119" s="17">
        <f t="shared" si="49"/>
        <v>0.99664910342796109</v>
      </c>
      <c r="AJ119" s="17">
        <f t="shared" si="49"/>
        <v>0.99553463498856343</v>
      </c>
      <c r="AK119" s="17">
        <f t="shared" si="49"/>
        <v>0.99442141276500862</v>
      </c>
      <c r="AL119" s="17">
        <f t="shared" si="49"/>
        <v>0.99330943536375893</v>
      </c>
      <c r="AO119" s="8">
        <f>ROW()</f>
        <v>119</v>
      </c>
    </row>
    <row r="120" spans="2:41" ht="13.9" customHeight="1" x14ac:dyDescent="0.2">
      <c r="B120" s="41" t="s">
        <v>372</v>
      </c>
      <c r="I120">
        <f t="shared" si="24"/>
        <v>2030</v>
      </c>
      <c r="M120" s="84"/>
      <c r="P120" s="16">
        <f t="shared" si="26"/>
        <v>1</v>
      </c>
      <c r="Q120" s="16">
        <f t="shared" si="27"/>
        <v>1</v>
      </c>
      <c r="R120" s="17">
        <f t="shared" si="29"/>
        <v>1</v>
      </c>
      <c r="S120" s="17">
        <f t="shared" si="31"/>
        <v>1</v>
      </c>
      <c r="T120" s="17">
        <f t="shared" si="33"/>
        <v>1</v>
      </c>
      <c r="U120" s="17">
        <f t="shared" si="35"/>
        <v>1</v>
      </c>
      <c r="V120" s="17">
        <f t="shared" si="37"/>
        <v>1</v>
      </c>
      <c r="W120" s="17">
        <f t="shared" si="39"/>
        <v>1</v>
      </c>
      <c r="X120" s="17">
        <f t="shared" si="45"/>
        <v>1</v>
      </c>
      <c r="Y120" s="17">
        <f t="shared" si="46"/>
        <v>1</v>
      </c>
      <c r="Z120" s="17">
        <f t="shared" si="47"/>
        <v>1</v>
      </c>
      <c r="AA120" s="17">
        <f t="shared" si="48"/>
        <v>1</v>
      </c>
      <c r="AB120" s="17">
        <f t="shared" si="49"/>
        <v>1</v>
      </c>
      <c r="AC120" s="17">
        <f t="shared" si="49"/>
        <v>1</v>
      </c>
      <c r="AD120" s="17">
        <f t="shared" si="49"/>
        <v>1</v>
      </c>
      <c r="AE120" s="17">
        <f t="shared" si="49"/>
        <v>1</v>
      </c>
      <c r="AF120" s="17">
        <f t="shared" si="49"/>
        <v>1</v>
      </c>
      <c r="AG120" s="17">
        <f t="shared" si="49"/>
        <v>1</v>
      </c>
      <c r="AH120" s="17">
        <f t="shared" si="49"/>
        <v>0.9988817845362381</v>
      </c>
      <c r="AI120" s="17">
        <f t="shared" si="49"/>
        <v>0.99776481947829943</v>
      </c>
      <c r="AJ120" s="17">
        <f t="shared" si="49"/>
        <v>0.99664910342796109</v>
      </c>
      <c r="AK120" s="17">
        <f t="shared" si="49"/>
        <v>0.99553463498856343</v>
      </c>
      <c r="AL120" s="17">
        <f t="shared" si="49"/>
        <v>0.99442141276500862</v>
      </c>
      <c r="AO120" s="8">
        <f>ROW()</f>
        <v>120</v>
      </c>
    </row>
    <row r="121" spans="2:41" ht="13.9" customHeight="1" x14ac:dyDescent="0.2">
      <c r="B121" s="41" t="s">
        <v>372</v>
      </c>
      <c r="I121">
        <f t="shared" si="24"/>
        <v>2031</v>
      </c>
      <c r="M121" s="84"/>
      <c r="P121" s="16">
        <f t="shared" si="26"/>
        <v>1</v>
      </c>
      <c r="Q121" s="16">
        <f t="shared" si="27"/>
        <v>1</v>
      </c>
      <c r="R121" s="17">
        <f t="shared" si="29"/>
        <v>1</v>
      </c>
      <c r="S121" s="17">
        <f t="shared" si="31"/>
        <v>1</v>
      </c>
      <c r="T121" s="17">
        <f t="shared" si="33"/>
        <v>1</v>
      </c>
      <c r="U121" s="17">
        <f t="shared" si="35"/>
        <v>1</v>
      </c>
      <c r="V121" s="17">
        <f t="shared" si="37"/>
        <v>1</v>
      </c>
      <c r="W121" s="17">
        <f t="shared" si="39"/>
        <v>1</v>
      </c>
      <c r="X121" s="17">
        <f t="shared" si="45"/>
        <v>1</v>
      </c>
      <c r="Y121" s="17">
        <f t="shared" si="46"/>
        <v>1</v>
      </c>
      <c r="Z121" s="17">
        <f t="shared" si="47"/>
        <v>1</v>
      </c>
      <c r="AA121" s="17">
        <f t="shared" si="48"/>
        <v>1</v>
      </c>
      <c r="AB121" s="17">
        <f t="shared" si="49"/>
        <v>1</v>
      </c>
      <c r="AC121" s="17">
        <f t="shared" si="49"/>
        <v>1</v>
      </c>
      <c r="AD121" s="17">
        <f t="shared" si="49"/>
        <v>1</v>
      </c>
      <c r="AE121" s="17">
        <f t="shared" si="49"/>
        <v>1</v>
      </c>
      <c r="AF121" s="17">
        <f t="shared" si="49"/>
        <v>1</v>
      </c>
      <c r="AG121" s="17">
        <f t="shared" si="49"/>
        <v>1</v>
      </c>
      <c r="AH121" s="17">
        <f t="shared" si="49"/>
        <v>1</v>
      </c>
      <c r="AI121" s="17">
        <f t="shared" si="49"/>
        <v>0.9988817845362381</v>
      </c>
      <c r="AJ121" s="17">
        <f t="shared" si="49"/>
        <v>0.99776481947829943</v>
      </c>
      <c r="AK121" s="17">
        <f t="shared" si="49"/>
        <v>0.99664910342796109</v>
      </c>
      <c r="AL121" s="17">
        <f t="shared" si="49"/>
        <v>0.99553463498856343</v>
      </c>
      <c r="AO121" s="8">
        <f>ROW()</f>
        <v>121</v>
      </c>
    </row>
    <row r="122" spans="2:41" ht="13.9" customHeight="1" x14ac:dyDescent="0.2">
      <c r="B122" s="41" t="s">
        <v>372</v>
      </c>
      <c r="I122">
        <f t="shared" si="24"/>
        <v>2032</v>
      </c>
      <c r="M122" s="84"/>
      <c r="P122" s="16">
        <f t="shared" si="26"/>
        <v>1</v>
      </c>
      <c r="Q122" s="16">
        <f t="shared" si="27"/>
        <v>1</v>
      </c>
      <c r="R122" s="17">
        <f t="shared" si="29"/>
        <v>1</v>
      </c>
      <c r="S122" s="17">
        <f t="shared" si="31"/>
        <v>1</v>
      </c>
      <c r="T122" s="17">
        <f t="shared" si="33"/>
        <v>1</v>
      </c>
      <c r="U122" s="17">
        <f t="shared" si="35"/>
        <v>1</v>
      </c>
      <c r="V122" s="17">
        <f t="shared" si="37"/>
        <v>1</v>
      </c>
      <c r="W122" s="17">
        <f t="shared" si="39"/>
        <v>1</v>
      </c>
      <c r="X122" s="17">
        <f t="shared" si="45"/>
        <v>1</v>
      </c>
      <c r="Y122" s="17">
        <f t="shared" si="46"/>
        <v>1</v>
      </c>
      <c r="Z122" s="17">
        <f t="shared" si="47"/>
        <v>1</v>
      </c>
      <c r="AA122" s="17">
        <f t="shared" si="48"/>
        <v>1</v>
      </c>
      <c r="AB122" s="17">
        <f t="shared" si="49"/>
        <v>1</v>
      </c>
      <c r="AC122" s="17">
        <f t="shared" si="49"/>
        <v>1</v>
      </c>
      <c r="AD122" s="17">
        <f t="shared" si="49"/>
        <v>1</v>
      </c>
      <c r="AE122" s="17">
        <f t="shared" si="49"/>
        <v>1</v>
      </c>
      <c r="AF122" s="17">
        <f t="shared" si="49"/>
        <v>1</v>
      </c>
      <c r="AG122" s="17">
        <f t="shared" si="49"/>
        <v>1</v>
      </c>
      <c r="AH122" s="17">
        <f t="shared" si="49"/>
        <v>1</v>
      </c>
      <c r="AI122" s="17">
        <f t="shared" si="49"/>
        <v>1</v>
      </c>
      <c r="AJ122" s="17">
        <f t="shared" si="49"/>
        <v>0.9988817845362381</v>
      </c>
      <c r="AK122" s="17">
        <f t="shared" si="49"/>
        <v>0.99776481947829943</v>
      </c>
      <c r="AL122" s="17">
        <f t="shared" si="49"/>
        <v>0.99664910342796109</v>
      </c>
      <c r="AO122" s="8">
        <f>ROW()</f>
        <v>122</v>
      </c>
    </row>
    <row r="123" spans="2:41" ht="13.9" customHeight="1" x14ac:dyDescent="0.2">
      <c r="B123" s="41" t="s">
        <v>372</v>
      </c>
      <c r="I123">
        <f t="shared" si="24"/>
        <v>2033</v>
      </c>
      <c r="M123" s="84"/>
      <c r="P123" s="16">
        <f t="shared" si="26"/>
        <v>1</v>
      </c>
      <c r="Q123" s="16">
        <f t="shared" si="27"/>
        <v>1</v>
      </c>
      <c r="R123" s="17">
        <f t="shared" si="29"/>
        <v>1</v>
      </c>
      <c r="S123" s="17">
        <f t="shared" si="31"/>
        <v>1</v>
      </c>
      <c r="T123" s="17">
        <f t="shared" si="33"/>
        <v>1</v>
      </c>
      <c r="U123" s="17">
        <f t="shared" si="35"/>
        <v>1</v>
      </c>
      <c r="V123" s="17">
        <f t="shared" si="37"/>
        <v>1</v>
      </c>
      <c r="W123" s="17">
        <f t="shared" si="39"/>
        <v>1</v>
      </c>
      <c r="X123" s="17">
        <f t="shared" si="45"/>
        <v>1</v>
      </c>
      <c r="Y123" s="17">
        <f t="shared" si="46"/>
        <v>1</v>
      </c>
      <c r="Z123" s="17">
        <f t="shared" si="47"/>
        <v>1</v>
      </c>
      <c r="AA123" s="17">
        <f t="shared" si="48"/>
        <v>1</v>
      </c>
      <c r="AB123" s="17">
        <f t="shared" si="49"/>
        <v>1</v>
      </c>
      <c r="AC123" s="17">
        <f t="shared" si="49"/>
        <v>1</v>
      </c>
      <c r="AD123" s="17">
        <f t="shared" si="49"/>
        <v>1</v>
      </c>
      <c r="AE123" s="17">
        <f t="shared" si="49"/>
        <v>1</v>
      </c>
      <c r="AF123" s="17">
        <f t="shared" si="49"/>
        <v>1</v>
      </c>
      <c r="AG123" s="17">
        <f t="shared" si="49"/>
        <v>1</v>
      </c>
      <c r="AH123" s="17">
        <f t="shared" si="49"/>
        <v>1</v>
      </c>
      <c r="AI123" s="17">
        <f t="shared" si="49"/>
        <v>1</v>
      </c>
      <c r="AJ123" s="17">
        <f t="shared" si="49"/>
        <v>1</v>
      </c>
      <c r="AK123" s="17">
        <f t="shared" si="49"/>
        <v>0.9988817845362381</v>
      </c>
      <c r="AL123" s="17">
        <f t="shared" si="49"/>
        <v>0.99776481947829943</v>
      </c>
      <c r="AO123" s="8">
        <f>ROW()</f>
        <v>123</v>
      </c>
    </row>
    <row r="124" spans="2:41" ht="13.9" customHeight="1" x14ac:dyDescent="0.2">
      <c r="B124" s="41" t="s">
        <v>372</v>
      </c>
      <c r="I124">
        <f t="shared" si="24"/>
        <v>2034</v>
      </c>
      <c r="M124" s="84"/>
      <c r="P124" s="16">
        <f t="shared" si="26"/>
        <v>1</v>
      </c>
      <c r="Q124" s="16">
        <f t="shared" si="27"/>
        <v>1</v>
      </c>
      <c r="R124" s="17">
        <f t="shared" si="29"/>
        <v>1</v>
      </c>
      <c r="S124" s="17">
        <f t="shared" si="31"/>
        <v>1</v>
      </c>
      <c r="T124" s="17">
        <f t="shared" si="33"/>
        <v>1</v>
      </c>
      <c r="U124" s="17">
        <f t="shared" si="35"/>
        <v>1</v>
      </c>
      <c r="V124" s="17">
        <f t="shared" si="37"/>
        <v>1</v>
      </c>
      <c r="W124" s="17">
        <f t="shared" si="39"/>
        <v>1</v>
      </c>
      <c r="X124" s="17">
        <f t="shared" si="45"/>
        <v>1</v>
      </c>
      <c r="Y124" s="17">
        <f t="shared" si="46"/>
        <v>1</v>
      </c>
      <c r="Z124" s="17">
        <f t="shared" si="47"/>
        <v>1</v>
      </c>
      <c r="AA124" s="17">
        <f t="shared" si="48"/>
        <v>1</v>
      </c>
      <c r="AB124" s="17">
        <f t="shared" si="49"/>
        <v>1</v>
      </c>
      <c r="AC124" s="17">
        <f t="shared" si="49"/>
        <v>1</v>
      </c>
      <c r="AD124" s="17">
        <f t="shared" si="49"/>
        <v>1</v>
      </c>
      <c r="AE124" s="17">
        <f t="shared" si="49"/>
        <v>1</v>
      </c>
      <c r="AF124" s="17">
        <f t="shared" si="49"/>
        <v>1</v>
      </c>
      <c r="AG124" s="17">
        <f t="shared" si="49"/>
        <v>1</v>
      </c>
      <c r="AH124" s="17">
        <f t="shared" si="49"/>
        <v>1</v>
      </c>
      <c r="AI124" s="17">
        <f t="shared" si="49"/>
        <v>1</v>
      </c>
      <c r="AJ124" s="17">
        <f t="shared" si="49"/>
        <v>1</v>
      </c>
      <c r="AK124" s="17">
        <f t="shared" si="49"/>
        <v>1</v>
      </c>
      <c r="AL124" s="17">
        <f t="shared" si="49"/>
        <v>0.9988817845362381</v>
      </c>
      <c r="AO124" s="8">
        <f>ROW()</f>
        <v>124</v>
      </c>
    </row>
    <row r="125" spans="2:41" ht="13.9" customHeight="1" x14ac:dyDescent="0.2">
      <c r="M125" s="84"/>
      <c r="AO125" s="8">
        <f>ROW()</f>
        <v>125</v>
      </c>
    </row>
    <row r="126" spans="2:41" ht="13.9" customHeight="1" x14ac:dyDescent="0.2">
      <c r="B126" t="s">
        <v>591</v>
      </c>
      <c r="M126" s="84"/>
      <c r="P126" s="39">
        <f t="shared" ref="P126:AL126" si="50">PRODUCT(P102:P124)-1</f>
        <v>-8.6308515313143763E-3</v>
      </c>
      <c r="Q126" s="39">
        <f t="shared" si="50"/>
        <v>-1.8126575730185168E-2</v>
      </c>
      <c r="R126" s="39">
        <f t="shared" si="50"/>
        <v>-2.8471298850176741E-2</v>
      </c>
      <c r="S126" s="39">
        <f t="shared" si="50"/>
        <v>-3.9647214599809355E-2</v>
      </c>
      <c r="T126" s="39">
        <f t="shared" si="50"/>
        <v>-5.1634619185033648E-2</v>
      </c>
      <c r="U126" s="39">
        <f t="shared" si="50"/>
        <v>-6.4411949174746685E-2</v>
      </c>
      <c r="V126" s="39">
        <f t="shared" si="50"/>
        <v>-7.7955821804989722E-2</v>
      </c>
      <c r="W126" s="39">
        <f t="shared" si="50"/>
        <v>-9.22410773708221E-2</v>
      </c>
      <c r="X126" s="39">
        <f t="shared" si="50"/>
        <v>-0.1072408234025547</v>
      </c>
      <c r="Y126" s="39">
        <f t="shared" si="50"/>
        <v>-0.12292648038606768</v>
      </c>
      <c r="Z126" s="39">
        <f t="shared" si="50"/>
        <v>-0.13177430176908411</v>
      </c>
      <c r="AA126" s="39">
        <f t="shared" si="50"/>
        <v>-0.14065609550504909</v>
      </c>
      <c r="AB126" s="39">
        <f t="shared" si="50"/>
        <v>-0.14957614290040178</v>
      </c>
      <c r="AC126" s="39">
        <f t="shared" si="50"/>
        <v>-0.1585216875365858</v>
      </c>
      <c r="AD126" s="39">
        <f t="shared" si="50"/>
        <v>-0.16747978728721835</v>
      </c>
      <c r="AE126" s="39">
        <f t="shared" si="50"/>
        <v>-0.17643732308349824</v>
      </c>
      <c r="AF126" s="39">
        <f t="shared" si="50"/>
        <v>-0.18538100827461801</v>
      </c>
      <c r="AG126" s="39">
        <f t="shared" si="50"/>
        <v>-0.19429739868121931</v>
      </c>
      <c r="AH126" s="39">
        <f t="shared" si="50"/>
        <v>-0.2031729034526325</v>
      </c>
      <c r="AI126" s="39">
        <f t="shared" si="50"/>
        <v>-0.21199379685219788</v>
      </c>
      <c r="AJ126" s="39">
        <f t="shared" si="50"/>
        <v>-0.22074623110939318</v>
      </c>
      <c r="AK126" s="39">
        <f t="shared" si="50"/>
        <v>-0.22941625049276371</v>
      </c>
      <c r="AL126" s="39">
        <f t="shared" si="50"/>
        <v>-0.23798980677372894</v>
      </c>
      <c r="AO126" s="8">
        <f>ROW()</f>
        <v>126</v>
      </c>
    </row>
    <row r="127" spans="2:41" ht="13.9" customHeight="1" x14ac:dyDescent="0.2">
      <c r="M127" s="84"/>
      <c r="AO127" s="8">
        <f>ROW()</f>
        <v>127</v>
      </c>
    </row>
    <row r="128" spans="2:41" ht="13.9" customHeight="1" x14ac:dyDescent="0.2">
      <c r="B128" s="9" t="s">
        <v>215</v>
      </c>
      <c r="D128" t="s">
        <v>147</v>
      </c>
      <c r="M128" s="84"/>
      <c r="AO128" s="8">
        <f>ROW()</f>
        <v>128</v>
      </c>
    </row>
    <row r="129" spans="1:41" ht="13.9" customHeight="1" x14ac:dyDescent="0.2">
      <c r="M129" s="84"/>
      <c r="AO129" s="8">
        <f>ROW()</f>
        <v>129</v>
      </c>
    </row>
    <row r="130" spans="1:41" ht="13.9" customHeight="1" x14ac:dyDescent="0.2">
      <c r="B130" s="456" t="s">
        <v>179</v>
      </c>
      <c r="C130" s="456"/>
      <c r="D130" s="456"/>
      <c r="E130" s="456"/>
      <c r="F130" s="456"/>
      <c r="G130" s="456"/>
      <c r="H130" s="456"/>
      <c r="I130" s="456"/>
      <c r="J130" s="69"/>
      <c r="M130" s="84"/>
      <c r="AO130" s="8">
        <f>ROW()</f>
        <v>130</v>
      </c>
    </row>
    <row r="131" spans="1:41" ht="13.9" customHeight="1" x14ac:dyDescent="0.2">
      <c r="B131" s="456"/>
      <c r="C131" s="456"/>
      <c r="D131" s="456"/>
      <c r="E131" s="456"/>
      <c r="F131" s="456"/>
      <c r="G131" s="456"/>
      <c r="H131" s="456"/>
      <c r="I131" s="456"/>
      <c r="J131" s="69"/>
      <c r="M131" s="84"/>
      <c r="AO131" s="8">
        <f>ROW()</f>
        <v>131</v>
      </c>
    </row>
    <row r="132" spans="1:41" ht="13.9" customHeight="1" x14ac:dyDescent="0.2">
      <c r="M132" s="84"/>
      <c r="AO132" s="8">
        <f>ROW()</f>
        <v>132</v>
      </c>
    </row>
    <row r="133" spans="1:41" ht="13.9" customHeight="1" x14ac:dyDescent="0.2">
      <c r="B133" s="14" t="s">
        <v>218</v>
      </c>
      <c r="F133" s="13"/>
      <c r="G133" s="13">
        <v>2020</v>
      </c>
      <c r="H133" s="13"/>
      <c r="M133" s="84"/>
      <c r="AO133" s="8">
        <f>ROW()</f>
        <v>133</v>
      </c>
    </row>
    <row r="134" spans="1:41" ht="13.9" customHeight="1" x14ac:dyDescent="0.2">
      <c r="M134" s="84"/>
      <c r="AO134" s="8">
        <f>ROW()</f>
        <v>134</v>
      </c>
    </row>
    <row r="135" spans="1:41" ht="13.9" customHeight="1" x14ac:dyDescent="0.2">
      <c r="A135" s="14"/>
      <c r="B135" t="s">
        <v>373</v>
      </c>
      <c r="G135" s="47">
        <f>AB42</f>
        <v>51868.365157415115</v>
      </c>
      <c r="H135" s="47"/>
      <c r="M135" s="84"/>
      <c r="AO135" s="8">
        <f>ROW()</f>
        <v>135</v>
      </c>
    </row>
    <row r="136" spans="1:41" ht="13.9" customHeight="1" x14ac:dyDescent="0.2">
      <c r="B136" t="s">
        <v>374</v>
      </c>
      <c r="G136" s="47">
        <f>AB59</f>
        <v>44110.09515861937</v>
      </c>
      <c r="H136" s="47"/>
      <c r="M136" s="84"/>
      <c r="AO136" s="8">
        <f>ROW()</f>
        <v>136</v>
      </c>
    </row>
    <row r="137" spans="1:41" s="14" customFormat="1" ht="13.9" customHeight="1" x14ac:dyDescent="0.2">
      <c r="A137"/>
      <c r="B137" s="14" t="s">
        <v>10</v>
      </c>
      <c r="G137" s="48">
        <f>G136/G135</f>
        <v>0.85042385709959822</v>
      </c>
      <c r="H137" s="48"/>
      <c r="M137" s="209"/>
      <c r="N137" s="209"/>
      <c r="O137" s="209"/>
      <c r="AO137" s="8">
        <f>ROW()</f>
        <v>137</v>
      </c>
    </row>
    <row r="138" spans="1:41" ht="13.9" customHeight="1" x14ac:dyDescent="0.2">
      <c r="M138" s="84"/>
      <c r="AO138" s="8">
        <f>ROW()</f>
        <v>138</v>
      </c>
    </row>
    <row r="139" spans="1:41" ht="13.9" customHeight="1" x14ac:dyDescent="0.2">
      <c r="A139" s="14"/>
      <c r="B139" t="s">
        <v>0</v>
      </c>
      <c r="G139" s="23">
        <f>K55</f>
        <v>22.456286026151631</v>
      </c>
      <c r="H139" s="23"/>
      <c r="M139" s="84"/>
      <c r="AO139" s="8">
        <f>ROW()</f>
        <v>139</v>
      </c>
    </row>
    <row r="140" spans="1:41" ht="13.9" customHeight="1" x14ac:dyDescent="0.2">
      <c r="B140" t="s">
        <v>1</v>
      </c>
      <c r="G140" s="23">
        <f>AB55</f>
        <v>21.759018535902623</v>
      </c>
      <c r="H140" s="23"/>
      <c r="M140" s="84"/>
      <c r="AO140" s="8">
        <f>ROW()</f>
        <v>140</v>
      </c>
    </row>
    <row r="141" spans="1:41" s="14" customFormat="1" ht="13.9" customHeight="1" x14ac:dyDescent="0.2">
      <c r="A141"/>
      <c r="B141" s="14" t="s">
        <v>10</v>
      </c>
      <c r="G141" s="48">
        <f>G140/G139</f>
        <v>0.9689500084993129</v>
      </c>
      <c r="H141" s="48"/>
      <c r="M141" s="209"/>
      <c r="N141" s="209"/>
      <c r="O141" s="209"/>
      <c r="AO141" s="8">
        <f>ROW()</f>
        <v>141</v>
      </c>
    </row>
    <row r="142" spans="1:41" ht="13.9" customHeight="1" x14ac:dyDescent="0.2">
      <c r="G142" s="23"/>
      <c r="H142" s="23"/>
      <c r="M142" s="84"/>
      <c r="AO142" s="8">
        <f>ROW()</f>
        <v>142</v>
      </c>
    </row>
    <row r="143" spans="1:41" ht="13.9" customHeight="1" x14ac:dyDescent="0.2">
      <c r="B143" s="3" t="s">
        <v>300</v>
      </c>
      <c r="G143" s="23"/>
      <c r="H143" s="23"/>
      <c r="M143" s="84"/>
      <c r="AO143" s="8">
        <f>ROW()</f>
        <v>143</v>
      </c>
    </row>
    <row r="144" spans="1:41" ht="13.9" customHeight="1" x14ac:dyDescent="0.2">
      <c r="A144" s="14"/>
      <c r="B144" t="s">
        <v>220</v>
      </c>
      <c r="G144" s="23">
        <f>AB46</f>
        <v>528.24074543482595</v>
      </c>
      <c r="H144" s="23"/>
      <c r="M144" s="84"/>
      <c r="AO144" s="8">
        <f>ROW()</f>
        <v>144</v>
      </c>
    </row>
    <row r="145" spans="1:41" ht="13.9" customHeight="1" x14ac:dyDescent="0.2">
      <c r="A145" s="14"/>
      <c r="B145" t="s">
        <v>222</v>
      </c>
      <c r="G145" s="23">
        <f>AB60</f>
        <v>435.27999010286959</v>
      </c>
      <c r="H145" s="23"/>
      <c r="M145" s="84"/>
      <c r="AO145" s="8">
        <f>ROW()</f>
        <v>145</v>
      </c>
    </row>
    <row r="146" spans="1:41" ht="13.9" customHeight="1" x14ac:dyDescent="0.2">
      <c r="A146" s="14"/>
      <c r="B146" s="14" t="s">
        <v>10</v>
      </c>
      <c r="C146" s="14"/>
      <c r="D146" s="14"/>
      <c r="E146" s="14"/>
      <c r="F146" s="14"/>
      <c r="G146" s="68">
        <f>G145/G144</f>
        <v>0.82401820356467403</v>
      </c>
      <c r="H146" s="68"/>
      <c r="M146" s="84"/>
      <c r="AO146" s="8">
        <f>ROW()</f>
        <v>146</v>
      </c>
    </row>
    <row r="147" spans="1:41" ht="13.9" customHeight="1" x14ac:dyDescent="0.2">
      <c r="G147" s="23"/>
      <c r="H147" s="23"/>
      <c r="M147" s="84"/>
      <c r="AO147" s="8">
        <f>ROW()</f>
        <v>147</v>
      </c>
    </row>
    <row r="148" spans="1:41" ht="13.9" customHeight="1" x14ac:dyDescent="0.2">
      <c r="B148" s="14" t="s">
        <v>9</v>
      </c>
      <c r="C148" s="14"/>
      <c r="D148" s="14"/>
      <c r="E148" s="14"/>
      <c r="F148" s="14"/>
      <c r="G148" s="68">
        <f>G141*G137</f>
        <v>0.82401820356467415</v>
      </c>
      <c r="H148" s="68"/>
      <c r="M148" s="84"/>
      <c r="AO148" s="8">
        <f>ROW()</f>
        <v>148</v>
      </c>
    </row>
    <row r="149" spans="1:41" ht="13.9" customHeight="1" x14ac:dyDescent="0.2">
      <c r="G149" s="23"/>
      <c r="H149" s="23"/>
      <c r="M149" s="84"/>
      <c r="AO149" s="8">
        <f>ROW()</f>
        <v>149</v>
      </c>
    </row>
    <row r="150" spans="1:41" ht="13.9" customHeight="1" x14ac:dyDescent="0.2">
      <c r="B150" t="s">
        <v>223</v>
      </c>
      <c r="G150" s="23"/>
      <c r="H150" s="23"/>
      <c r="M150" s="84"/>
      <c r="AO150" s="8">
        <f>ROW()</f>
        <v>150</v>
      </c>
    </row>
    <row r="151" spans="1:41" ht="13.9" customHeight="1" x14ac:dyDescent="0.2">
      <c r="B151" t="s">
        <v>224</v>
      </c>
      <c r="G151" s="7">
        <f>(1-G137)/(1-G141)</f>
        <v>4.8172684007688638</v>
      </c>
      <c r="H151" s="7"/>
      <c r="M151" s="84"/>
      <c r="AO151" s="8">
        <f>ROW()</f>
        <v>151</v>
      </c>
    </row>
    <row r="152" spans="1:41" ht="13.9" customHeight="1" x14ac:dyDescent="0.2">
      <c r="M152" s="84"/>
      <c r="AO152" s="8">
        <f>ROW()</f>
        <v>152</v>
      </c>
    </row>
    <row r="153" spans="1:41" ht="13.9" customHeight="1" x14ac:dyDescent="0.2">
      <c r="B153" s="49" t="s">
        <v>225</v>
      </c>
      <c r="C153" s="50"/>
      <c r="D153" s="50"/>
      <c r="E153" s="50"/>
      <c r="F153" s="50"/>
      <c r="G153" s="51">
        <f>G151/(1+G151)</f>
        <v>0.82809801248506421</v>
      </c>
      <c r="H153" s="132"/>
      <c r="M153" s="84"/>
      <c r="AO153" s="8">
        <f>ROW()</f>
        <v>153</v>
      </c>
    </row>
    <row r="154" spans="1:41" ht="13.9" customHeight="1" x14ac:dyDescent="0.2">
      <c r="B154" s="52" t="s">
        <v>226</v>
      </c>
      <c r="C154" s="53"/>
      <c r="D154" s="53"/>
      <c r="E154" s="53"/>
      <c r="F154" s="53"/>
      <c r="G154" s="54">
        <f>1-G153</f>
        <v>0.17190198751493579</v>
      </c>
      <c r="H154" s="133"/>
      <c r="M154" s="84"/>
      <c r="AO154" s="8">
        <f>ROW()</f>
        <v>154</v>
      </c>
    </row>
    <row r="155" spans="1:41" ht="13.9" customHeight="1" x14ac:dyDescent="0.2">
      <c r="M155" s="84"/>
    </row>
    <row r="156" spans="1:41" ht="13.9" customHeight="1" x14ac:dyDescent="0.2">
      <c r="M156" s="84"/>
    </row>
    <row r="157" spans="1:41" ht="13.9" customHeight="1" x14ac:dyDescent="0.2">
      <c r="M157" s="84"/>
    </row>
    <row r="158" spans="1:41" ht="13.9" customHeight="1" x14ac:dyDescent="0.2">
      <c r="M158" s="84"/>
    </row>
    <row r="159" spans="1:41" ht="13.9" customHeight="1" x14ac:dyDescent="0.2">
      <c r="M159" s="84"/>
    </row>
    <row r="160" spans="1:41" ht="13.9" customHeight="1" x14ac:dyDescent="0.2">
      <c r="M160" s="84"/>
    </row>
    <row r="161" spans="13:13" ht="13.9" customHeight="1" x14ac:dyDescent="0.2">
      <c r="M161" s="84"/>
    </row>
    <row r="162" spans="13:13" ht="13.9" customHeight="1" x14ac:dyDescent="0.2">
      <c r="M162" s="84"/>
    </row>
    <row r="163" spans="13:13" ht="13.9" customHeight="1" x14ac:dyDescent="0.2">
      <c r="M163" s="84"/>
    </row>
    <row r="164" spans="13:13" ht="13.9" customHeight="1" x14ac:dyDescent="0.2">
      <c r="M164" s="84"/>
    </row>
    <row r="165" spans="13:13" ht="13.9" customHeight="1" x14ac:dyDescent="0.2">
      <c r="M165" s="84"/>
    </row>
    <row r="166" spans="13:13" ht="13.9" customHeight="1" x14ac:dyDescent="0.2">
      <c r="M166" s="84"/>
    </row>
    <row r="167" spans="13:13" ht="13.9" customHeight="1" x14ac:dyDescent="0.2">
      <c r="M167" s="84"/>
    </row>
    <row r="168" spans="13:13" ht="13.9" customHeight="1" x14ac:dyDescent="0.2">
      <c r="M168" s="84"/>
    </row>
    <row r="169" spans="13:13" ht="13.9" customHeight="1" x14ac:dyDescent="0.2">
      <c r="M169" s="84"/>
    </row>
    <row r="170" spans="13:13" ht="13.9" customHeight="1" x14ac:dyDescent="0.2">
      <c r="M170" s="84"/>
    </row>
    <row r="171" spans="13:13" ht="13.9" customHeight="1" x14ac:dyDescent="0.2">
      <c r="M171" s="84"/>
    </row>
    <row r="172" spans="13:13" ht="13.9" customHeight="1" x14ac:dyDescent="0.2">
      <c r="M172" s="84"/>
    </row>
    <row r="173" spans="13:13" ht="13.9" customHeight="1" x14ac:dyDescent="0.2">
      <c r="M173" s="84"/>
    </row>
    <row r="174" spans="13:13" ht="13.9" customHeight="1" x14ac:dyDescent="0.2">
      <c r="M174" s="84"/>
    </row>
    <row r="175" spans="13:13" ht="13.9" customHeight="1" x14ac:dyDescent="0.2">
      <c r="M175" s="84"/>
    </row>
    <row r="176" spans="13:13" ht="13.9" customHeight="1" x14ac:dyDescent="0.2">
      <c r="M176" s="84"/>
    </row>
    <row r="177" spans="13:13" ht="13.9" customHeight="1" x14ac:dyDescent="0.2">
      <c r="M177" s="84"/>
    </row>
    <row r="178" spans="13:13" ht="13.9" customHeight="1" x14ac:dyDescent="0.2">
      <c r="M178" s="84"/>
    </row>
    <row r="179" spans="13:13" ht="13.9" customHeight="1" x14ac:dyDescent="0.2">
      <c r="M179" s="84"/>
    </row>
    <row r="180" spans="13:13" ht="13.9" customHeight="1" x14ac:dyDescent="0.2">
      <c r="M180" s="84"/>
    </row>
    <row r="181" spans="13:13" ht="13.9" customHeight="1" x14ac:dyDescent="0.2">
      <c r="M181" s="84"/>
    </row>
    <row r="182" spans="13:13" ht="13.9" customHeight="1" x14ac:dyDescent="0.2">
      <c r="M182" s="84"/>
    </row>
    <row r="183" spans="13:13" ht="13.9" customHeight="1" x14ac:dyDescent="0.2">
      <c r="M183" s="84"/>
    </row>
    <row r="184" spans="13:13" ht="13.9" customHeight="1" x14ac:dyDescent="0.2">
      <c r="M184" s="84"/>
    </row>
    <row r="185" spans="13:13" ht="13.9" customHeight="1" x14ac:dyDescent="0.2">
      <c r="M185" s="84"/>
    </row>
    <row r="186" spans="13:13" ht="13.9" customHeight="1" x14ac:dyDescent="0.2">
      <c r="M186" s="84"/>
    </row>
    <row r="187" spans="13:13" ht="13.9" customHeight="1" x14ac:dyDescent="0.2">
      <c r="M187" s="84"/>
    </row>
    <row r="188" spans="13:13" ht="13.9" customHeight="1" x14ac:dyDescent="0.2">
      <c r="M188" s="84"/>
    </row>
    <row r="189" spans="13:13" ht="13.9" customHeight="1" x14ac:dyDescent="0.2">
      <c r="M189" s="84"/>
    </row>
    <row r="190" spans="13:13" ht="13.9" customHeight="1" x14ac:dyDescent="0.2">
      <c r="M190" s="84"/>
    </row>
    <row r="191" spans="13:13" ht="13.9" customHeight="1" x14ac:dyDescent="0.2">
      <c r="M191" s="84"/>
    </row>
  </sheetData>
  <mergeCells count="14">
    <mergeCell ref="B52:M54"/>
    <mergeCell ref="J11:O12"/>
    <mergeCell ref="N58:O65"/>
    <mergeCell ref="R73:AB76"/>
    <mergeCell ref="B130:I131"/>
    <mergeCell ref="L36:W38"/>
    <mergeCell ref="B43:M44"/>
    <mergeCell ref="K3:K6"/>
    <mergeCell ref="M3:M6"/>
    <mergeCell ref="P3:P6"/>
    <mergeCell ref="E21:J22"/>
    <mergeCell ref="B3:F5"/>
    <mergeCell ref="N3:O6"/>
    <mergeCell ref="L3:L6"/>
  </mergeCells>
  <printOptions gridLines="1"/>
  <pageMargins left="0.5" right="0.46" top="0.46" bottom="0.52" header="0.3" footer="0.3"/>
  <pageSetup scale="90"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272"/>
  <sheetViews>
    <sheetView topLeftCell="L127" workbookViewId="0"/>
  </sheetViews>
  <sheetFormatPr defaultRowHeight="13.9" customHeight="1" x14ac:dyDescent="0.2"/>
  <cols>
    <col min="1" max="1" width="2.5703125" customWidth="1"/>
    <col min="8" max="8" width="12.140625" customWidth="1"/>
    <col min="11" max="12" width="9.28515625" customWidth="1"/>
    <col min="13" max="13" width="9.28515625" style="30" customWidth="1"/>
    <col min="14" max="15" width="9.28515625" style="84" customWidth="1"/>
    <col min="16" max="17" width="9.28515625" customWidth="1"/>
    <col min="22" max="38" width="9.42578125" customWidth="1"/>
    <col min="41" max="41" width="2.42578125" customWidth="1"/>
  </cols>
  <sheetData>
    <row r="1" spans="2:41" ht="13.9" customHeight="1" x14ac:dyDescent="0.25">
      <c r="B1" s="70" t="s">
        <v>15</v>
      </c>
      <c r="M1" s="345">
        <f>Summary!J1</f>
        <v>40823</v>
      </c>
      <c r="AO1" s="8">
        <f>ROW()</f>
        <v>1</v>
      </c>
    </row>
    <row r="2" spans="2:41" ht="13.9" customHeight="1" x14ac:dyDescent="0.2">
      <c r="B2" s="1"/>
      <c r="M2" s="84"/>
      <c r="AO2" s="8">
        <f>ROW()</f>
        <v>2</v>
      </c>
    </row>
    <row r="3" spans="2:41" ht="13.9" customHeight="1" x14ac:dyDescent="0.2">
      <c r="B3" s="390" t="s">
        <v>326</v>
      </c>
      <c r="C3" s="449"/>
      <c r="D3" s="449"/>
      <c r="E3" s="449"/>
      <c r="F3" s="449"/>
      <c r="I3" s="84"/>
      <c r="J3" s="84"/>
      <c r="K3" s="426" t="s">
        <v>137</v>
      </c>
      <c r="L3" s="424" t="s">
        <v>360</v>
      </c>
      <c r="M3" s="424" t="s">
        <v>360</v>
      </c>
      <c r="N3" s="397" t="s">
        <v>282</v>
      </c>
      <c r="O3" s="398"/>
      <c r="P3" s="393" t="s">
        <v>138</v>
      </c>
      <c r="AO3" s="8">
        <f>ROW()</f>
        <v>3</v>
      </c>
    </row>
    <row r="4" spans="2:41" ht="13.9" customHeight="1" x14ac:dyDescent="0.2">
      <c r="B4" s="449"/>
      <c r="C4" s="449"/>
      <c r="D4" s="449"/>
      <c r="E4" s="449"/>
      <c r="F4" s="449"/>
      <c r="K4" s="427"/>
      <c r="L4" s="425"/>
      <c r="M4" s="425"/>
      <c r="N4" s="399"/>
      <c r="O4" s="398"/>
      <c r="P4" s="394"/>
      <c r="AO4" s="8">
        <f>ROW()</f>
        <v>4</v>
      </c>
    </row>
    <row r="5" spans="2:41" ht="13.9" customHeight="1" x14ac:dyDescent="0.2">
      <c r="B5" s="449"/>
      <c r="C5" s="449"/>
      <c r="D5" s="449"/>
      <c r="E5" s="449"/>
      <c r="F5" s="449"/>
      <c r="I5" s="129"/>
      <c r="J5" s="129"/>
      <c r="K5" s="427"/>
      <c r="L5" s="425"/>
      <c r="M5" s="425"/>
      <c r="N5" s="399"/>
      <c r="O5" s="398"/>
      <c r="P5" s="394"/>
      <c r="AO5" s="8">
        <f>ROW()</f>
        <v>5</v>
      </c>
    </row>
    <row r="6" spans="2:41" ht="13.9" customHeight="1" x14ac:dyDescent="0.2">
      <c r="B6" s="1"/>
      <c r="I6" s="3"/>
      <c r="J6" s="3"/>
      <c r="K6" s="428"/>
      <c r="L6" s="425"/>
      <c r="M6" s="425"/>
      <c r="N6" s="399"/>
      <c r="O6" s="398"/>
      <c r="P6" s="395"/>
      <c r="AO6" s="8">
        <f>ROW()</f>
        <v>6</v>
      </c>
    </row>
    <row r="7" spans="2:41" ht="13.9" customHeight="1" x14ac:dyDescent="0.2">
      <c r="B7" s="14" t="s">
        <v>609</v>
      </c>
      <c r="I7" s="165"/>
      <c r="J7" s="131"/>
      <c r="K7" s="170">
        <v>2007</v>
      </c>
      <c r="L7" s="242">
        <v>2008</v>
      </c>
      <c r="M7" s="242">
        <v>2009</v>
      </c>
      <c r="N7" s="242">
        <v>2010</v>
      </c>
      <c r="O7" s="170">
        <v>2011</v>
      </c>
      <c r="P7" s="130">
        <f>Summary!P115</f>
        <v>2012</v>
      </c>
      <c r="Q7" s="13">
        <f t="shared" ref="Q7:AL7" si="0">P7+1</f>
        <v>2013</v>
      </c>
      <c r="R7" s="13">
        <f t="shared" si="0"/>
        <v>2014</v>
      </c>
      <c r="S7" s="13">
        <f t="shared" si="0"/>
        <v>2015</v>
      </c>
      <c r="T7" s="13">
        <f t="shared" si="0"/>
        <v>2016</v>
      </c>
      <c r="U7" s="13">
        <f t="shared" si="0"/>
        <v>2017</v>
      </c>
      <c r="V7" s="13">
        <f t="shared" si="0"/>
        <v>2018</v>
      </c>
      <c r="W7" s="13">
        <f t="shared" si="0"/>
        <v>2019</v>
      </c>
      <c r="X7" s="13">
        <f t="shared" si="0"/>
        <v>2020</v>
      </c>
      <c r="Y7" s="13">
        <f t="shared" si="0"/>
        <v>2021</v>
      </c>
      <c r="Z7" s="13">
        <f t="shared" si="0"/>
        <v>2022</v>
      </c>
      <c r="AA7" s="13">
        <f t="shared" si="0"/>
        <v>2023</v>
      </c>
      <c r="AB7" s="13">
        <f t="shared" si="0"/>
        <v>2024</v>
      </c>
      <c r="AC7" s="13">
        <f t="shared" si="0"/>
        <v>2025</v>
      </c>
      <c r="AD7" s="13">
        <f t="shared" si="0"/>
        <v>2026</v>
      </c>
      <c r="AE7" s="13">
        <f t="shared" si="0"/>
        <v>2027</v>
      </c>
      <c r="AF7" s="13">
        <f t="shared" si="0"/>
        <v>2028</v>
      </c>
      <c r="AG7" s="13">
        <f t="shared" si="0"/>
        <v>2029</v>
      </c>
      <c r="AH7" s="13">
        <f t="shared" si="0"/>
        <v>2030</v>
      </c>
      <c r="AI7" s="13">
        <f t="shared" si="0"/>
        <v>2031</v>
      </c>
      <c r="AJ7" s="13">
        <f t="shared" si="0"/>
        <v>2032</v>
      </c>
      <c r="AK7" s="13">
        <f t="shared" si="0"/>
        <v>2033</v>
      </c>
      <c r="AL7" s="13">
        <f t="shared" si="0"/>
        <v>2034</v>
      </c>
      <c r="AO7" s="8">
        <f>ROW()</f>
        <v>7</v>
      </c>
    </row>
    <row r="8" spans="2:41" ht="13.9" customHeight="1" x14ac:dyDescent="0.2">
      <c r="H8" s="63"/>
      <c r="I8" s="63"/>
      <c r="J8" s="63"/>
      <c r="K8" s="13"/>
      <c r="L8" s="241"/>
      <c r="M8" s="241"/>
      <c r="N8" s="241"/>
      <c r="O8" s="203"/>
      <c r="P8" s="62"/>
      <c r="Q8" s="13"/>
      <c r="R8" s="13"/>
      <c r="S8" s="13"/>
      <c r="T8" s="13"/>
      <c r="U8" s="13"/>
      <c r="V8" s="13"/>
      <c r="W8" s="13"/>
      <c r="X8" s="13"/>
      <c r="Y8" s="13"/>
      <c r="Z8" s="13"/>
      <c r="AA8" s="13"/>
      <c r="AB8" s="13"/>
      <c r="AC8" s="13"/>
      <c r="AD8" s="13"/>
      <c r="AE8" s="13"/>
      <c r="AF8" s="13"/>
      <c r="AG8" s="13"/>
      <c r="AH8" s="13"/>
      <c r="AI8" s="13"/>
      <c r="AJ8" s="13"/>
      <c r="AK8" s="13"/>
      <c r="AL8" s="13"/>
      <c r="AO8" s="8">
        <f>ROW()</f>
        <v>8</v>
      </c>
    </row>
    <row r="9" spans="2:41" ht="13.9" customHeight="1" x14ac:dyDescent="0.2">
      <c r="B9" s="64" t="s">
        <v>8</v>
      </c>
      <c r="H9" s="63"/>
      <c r="I9" s="63"/>
      <c r="J9" s="63"/>
      <c r="K9" s="13"/>
      <c r="L9" s="13"/>
      <c r="M9" s="203"/>
      <c r="N9" s="203"/>
      <c r="O9" s="203"/>
      <c r="P9" s="62"/>
      <c r="Q9" s="13"/>
      <c r="R9" s="13"/>
      <c r="S9" s="13"/>
      <c r="T9" s="13"/>
      <c r="U9" s="13"/>
      <c r="AO9" s="8">
        <f>ROW()</f>
        <v>9</v>
      </c>
    </row>
    <row r="10" spans="2:41" ht="13.9" customHeight="1" x14ac:dyDescent="0.2">
      <c r="B10" s="71" t="s">
        <v>301</v>
      </c>
      <c r="M10" s="84"/>
      <c r="AO10" s="8">
        <f>ROW()</f>
        <v>10</v>
      </c>
    </row>
    <row r="11" spans="2:41" ht="13.9" customHeight="1" x14ac:dyDescent="0.2">
      <c r="B11" s="234" t="s">
        <v>439</v>
      </c>
      <c r="I11" s="274">
        <f>Summary!$J$76</f>
        <v>10</v>
      </c>
      <c r="J11" s="471" t="str">
        <f>CONCATENATE("Do not type in two boxes at left. Quantities in those boxes are inputted automatically from Cells I",Summary!$AN$76,", I",Summary!$AN$78,", I",Summary!$AN$80,", and I",Summary!$AN$85," in 'Summary' worksheet. ",)</f>
        <v xml:space="preserve">Do not type in two boxes at left. Quantities in those boxes are inputted automatically from Cells I76, I78, I80, and I85 in 'Summary' worksheet. </v>
      </c>
      <c r="K11" s="472"/>
      <c r="L11" s="472"/>
      <c r="M11" s="472"/>
      <c r="N11" s="472"/>
      <c r="O11" s="473"/>
      <c r="AO11" s="8">
        <f>ROW()</f>
        <v>11</v>
      </c>
    </row>
    <row r="12" spans="2:41" ht="13.9" customHeight="1" x14ac:dyDescent="0.2">
      <c r="B12" s="234" t="s">
        <v>438</v>
      </c>
      <c r="I12" s="274">
        <f>IF(Summary!J78=1,MAX(Summary!J80, 0.0001),Summary!J85)</f>
        <v>0.1</v>
      </c>
      <c r="J12" s="474"/>
      <c r="K12" s="475"/>
      <c r="L12" s="475"/>
      <c r="M12" s="475"/>
      <c r="N12" s="475"/>
      <c r="O12" s="476"/>
      <c r="AO12" s="8">
        <f>ROW()</f>
        <v>12</v>
      </c>
    </row>
    <row r="13" spans="2:41" ht="13.9" customHeight="1" x14ac:dyDescent="0.2">
      <c r="B13" s="110" t="str">
        <f>CONCATENATE("Note: Cell H",AO12, " is formulated as greater of (i) value entered in Summary, and (ii) 0.0001, to allow carbon tax rate to be set to zero; otherwise, zero would appear in denominator of some cells.")</f>
        <v>Note: Cell H12 is formulated as greater of (i) value entered in Summary, and (ii) 0.0001, to allow carbon tax rate to be set to zero; otherwise, zero would appear in denominator of some cells.</v>
      </c>
      <c r="I13" s="275"/>
      <c r="J13" s="262"/>
      <c r="K13" s="262"/>
      <c r="L13" s="262"/>
      <c r="M13" s="262"/>
      <c r="N13" s="262"/>
      <c r="O13" s="262"/>
      <c r="AO13" s="8">
        <f>ROW()</f>
        <v>13</v>
      </c>
    </row>
    <row r="14" spans="2:41" ht="13.9" customHeight="1" x14ac:dyDescent="0.2">
      <c r="H14" s="61"/>
      <c r="I14" s="61"/>
      <c r="J14" s="61"/>
      <c r="M14" s="84"/>
      <c r="AO14" s="8">
        <f>ROW()</f>
        <v>14</v>
      </c>
    </row>
    <row r="15" spans="2:41" ht="13.9" customHeight="1" x14ac:dyDescent="0.2">
      <c r="B15" s="42" t="str">
        <f>CONCATENATE("Is year at top of column equal to or greater than tax-start year (which was inputted in Summary tab, Cell H",Summary!$AN$98, ")?")</f>
        <v>Is year at top of column equal to or greater than tax-start year (which was inputted in Summary tab, Cell H98)?</v>
      </c>
      <c r="H15" s="2"/>
      <c r="I15" s="2"/>
      <c r="J15" s="2"/>
      <c r="M15" s="57" t="str">
        <f>IF(M$7&gt;=Summary!$J98,"YES","NO")</f>
        <v>NO</v>
      </c>
      <c r="N15" s="57" t="str">
        <f>IF(N$7&gt;=Summary!$J98,"YES","NO")</f>
        <v>NO</v>
      </c>
      <c r="O15" s="57" t="str">
        <f>IF(O$7&gt;=Summary!$J98,"YES","NO")</f>
        <v>NO</v>
      </c>
      <c r="P15" s="57" t="str">
        <f>IF(P$7&gt;=Summary!$J98,"YES","NO")</f>
        <v>YES</v>
      </c>
      <c r="Q15" s="57" t="str">
        <f>IF(Q$7&gt;=Summary!$J98,"YES","NO")</f>
        <v>YES</v>
      </c>
      <c r="R15" s="57" t="str">
        <f>IF(R$7&gt;=Summary!$J98,"YES","NO")</f>
        <v>YES</v>
      </c>
      <c r="S15" s="57" t="str">
        <f>IF(S$7&gt;=Summary!$J98,"YES","NO")</f>
        <v>YES</v>
      </c>
      <c r="T15" s="57" t="str">
        <f>IF(T$7&gt;=Summary!$J98,"YES","NO")</f>
        <v>YES</v>
      </c>
      <c r="U15" s="57" t="str">
        <f>IF(U$7&gt;=Summary!$J98,"YES","NO")</f>
        <v>YES</v>
      </c>
      <c r="V15" s="57" t="str">
        <f>IF(V$7&gt;=Summary!$J98,"YES","NO")</f>
        <v>YES</v>
      </c>
      <c r="W15" s="57" t="str">
        <f>IF(W$7&gt;=Summary!$J98,"YES","NO")</f>
        <v>YES</v>
      </c>
      <c r="X15" s="57" t="str">
        <f>IF(X$7&gt;=Summary!$J98,"YES","NO")</f>
        <v>YES</v>
      </c>
      <c r="Y15" s="57" t="str">
        <f>IF(Y$7&gt;=Summary!$J98,"YES","NO")</f>
        <v>YES</v>
      </c>
      <c r="Z15" s="57" t="str">
        <f>IF(Z$7&gt;=Summary!$J98,"YES","NO")</f>
        <v>YES</v>
      </c>
      <c r="AA15" s="57" t="str">
        <f>IF(AA$7&gt;=Summary!$J98,"YES","NO")</f>
        <v>YES</v>
      </c>
      <c r="AB15" s="57" t="str">
        <f>IF(AB$7&gt;=Summary!$J98,"YES","NO")</f>
        <v>YES</v>
      </c>
      <c r="AC15" s="57" t="str">
        <f>IF(AC$7&gt;=Summary!$J98,"YES","NO")</f>
        <v>YES</v>
      </c>
      <c r="AD15" s="57" t="str">
        <f>IF(AD$7&gt;=Summary!$J98,"YES","NO")</f>
        <v>YES</v>
      </c>
      <c r="AE15" s="57" t="str">
        <f>IF(AE$7&gt;=Summary!$J98,"YES","NO")</f>
        <v>YES</v>
      </c>
      <c r="AF15" s="57" t="str">
        <f>IF(AF$7&gt;=Summary!$J98,"YES","NO")</f>
        <v>YES</v>
      </c>
      <c r="AG15" s="57" t="str">
        <f>IF(AG$7&gt;=Summary!$J98,"YES","NO")</f>
        <v>YES</v>
      </c>
      <c r="AH15" s="57" t="str">
        <f>IF(AH$7&gt;=Summary!$J98,"YES","NO")</f>
        <v>YES</v>
      </c>
      <c r="AI15" s="57" t="str">
        <f>IF(AI$7&gt;=Summary!$J98,"YES","NO")</f>
        <v>YES</v>
      </c>
      <c r="AJ15" s="57" t="str">
        <f>IF(AJ$7&gt;=Summary!$J98,"YES","NO")</f>
        <v>YES</v>
      </c>
      <c r="AK15" s="57" t="str">
        <f>IF(AK$7&gt;=Summary!$J98,"YES","NO")</f>
        <v>YES</v>
      </c>
      <c r="AL15" s="57" t="str">
        <f>IF(AL$7&gt;=Summary!$J98,"YES","NO")</f>
        <v>YES</v>
      </c>
      <c r="AO15" s="8">
        <f>ROW()</f>
        <v>15</v>
      </c>
    </row>
    <row r="16" spans="2:41" ht="13.9" customHeight="1" x14ac:dyDescent="0.2">
      <c r="B16" s="42" t="str">
        <f>CONCATENATE("Is year at top of column equal to or greater than final tax year (which was inputted in Summary tab, Cell H",Summary!$AN$110, ")?")</f>
        <v>Is year at top of column equal to or greater than final tax year (which was inputted in Summary tab, Cell H110)?</v>
      </c>
      <c r="H16" s="2"/>
      <c r="I16" s="2"/>
      <c r="J16" s="2"/>
      <c r="M16" s="57" t="str">
        <f>IF(M$7&gt;Summary!$J99,"YES","NO")</f>
        <v>NO</v>
      </c>
      <c r="N16" s="57" t="str">
        <f>IF(N$7&gt;Summary!$J99,"YES","NO")</f>
        <v>NO</v>
      </c>
      <c r="O16" s="57" t="str">
        <f>IF(O$7&gt;Summary!$J99,"YES","NO")</f>
        <v>NO</v>
      </c>
      <c r="P16" s="57" t="str">
        <f>IF(P$7&gt;Summary!$J99,"YES","NO")</f>
        <v>NO</v>
      </c>
      <c r="Q16" s="57" t="str">
        <f>IF(Q$7&gt;Summary!$J99,"YES","NO")</f>
        <v>NO</v>
      </c>
      <c r="R16" s="57" t="str">
        <f>IF(R$7&gt;Summary!$J99,"YES","NO")</f>
        <v>NO</v>
      </c>
      <c r="S16" s="57" t="str">
        <f>IF(S$7&gt;Summary!$J99,"YES","NO")</f>
        <v>NO</v>
      </c>
      <c r="T16" s="57" t="str">
        <f>IF(T$7&gt;Summary!$J99,"YES","NO")</f>
        <v>NO</v>
      </c>
      <c r="U16" s="57" t="str">
        <f>IF(U$7&gt;Summary!$J99,"YES","NO")</f>
        <v>NO</v>
      </c>
      <c r="V16" s="57" t="str">
        <f>IF(V$7&gt;Summary!$J99,"YES","NO")</f>
        <v>NO</v>
      </c>
      <c r="W16" s="57" t="str">
        <f>IF(W$7&gt;Summary!$J99,"YES","NO")</f>
        <v>NO</v>
      </c>
      <c r="X16" s="57" t="str">
        <f>IF(X$7&gt;Summary!$J99,"YES","NO")</f>
        <v>NO</v>
      </c>
      <c r="Y16" s="57" t="str">
        <f>IF(Y$7&gt;Summary!$J99,"YES","NO")</f>
        <v>NO</v>
      </c>
      <c r="Z16" s="57" t="str">
        <f>IF(Z$7&gt;Summary!$J99,"YES","NO")</f>
        <v>NO</v>
      </c>
      <c r="AA16" s="57" t="str">
        <f>IF(AA$7&gt;Summary!$J99,"YES","NO")</f>
        <v>NO</v>
      </c>
      <c r="AB16" s="57" t="str">
        <f>IF(AB$7&gt;Summary!$J99,"YES","NO")</f>
        <v>NO</v>
      </c>
      <c r="AC16" s="57" t="str">
        <f>IF(AC$7&gt;Summary!$J99,"YES","NO")</f>
        <v>NO</v>
      </c>
      <c r="AD16" s="57" t="str">
        <f>IF(AD$7&gt;Summary!$J99,"YES","NO")</f>
        <v>NO</v>
      </c>
      <c r="AE16" s="57" t="str">
        <f>IF(AE$7&gt;Summary!$J99,"YES","NO")</f>
        <v>YES</v>
      </c>
      <c r="AF16" s="57" t="str">
        <f>IF(AF$7&gt;Summary!$J99,"YES","NO")</f>
        <v>YES</v>
      </c>
      <c r="AG16" s="57" t="str">
        <f>IF(AG$7&gt;Summary!$J99,"YES","NO")</f>
        <v>YES</v>
      </c>
      <c r="AH16" s="57" t="str">
        <f>IF(AH$7&gt;Summary!$J99,"YES","NO")</f>
        <v>YES</v>
      </c>
      <c r="AI16" s="57" t="str">
        <f>IF(AI$7&gt;Summary!$J99,"YES","NO")</f>
        <v>YES</v>
      </c>
      <c r="AJ16" s="57" t="str">
        <f>IF(AJ$7&gt;Summary!$J99,"YES","NO")</f>
        <v>YES</v>
      </c>
      <c r="AK16" s="57" t="str">
        <f>IF(AK$7&gt;Summary!$J99,"YES","NO")</f>
        <v>YES</v>
      </c>
      <c r="AL16" s="57" t="str">
        <f>IF(AL$7&gt;Summary!$J99,"YES","NO")</f>
        <v>YES</v>
      </c>
      <c r="AO16" s="8">
        <f>ROW()</f>
        <v>16</v>
      </c>
    </row>
    <row r="17" spans="1:41" ht="13.9" customHeight="1" x14ac:dyDescent="0.2">
      <c r="B17" s="42" t="s">
        <v>441</v>
      </c>
      <c r="M17">
        <f t="shared" ref="M17:AL17" si="1">IF(M15="NO",0,(IF(AND(M15="YES",M16="NO"),L17+1,L17)))</f>
        <v>0</v>
      </c>
      <c r="N17">
        <f t="shared" si="1"/>
        <v>0</v>
      </c>
      <c r="O17">
        <f t="shared" si="1"/>
        <v>0</v>
      </c>
      <c r="P17">
        <f t="shared" si="1"/>
        <v>1</v>
      </c>
      <c r="Q17">
        <f t="shared" si="1"/>
        <v>2</v>
      </c>
      <c r="R17">
        <f t="shared" si="1"/>
        <v>3</v>
      </c>
      <c r="S17">
        <f t="shared" si="1"/>
        <v>4</v>
      </c>
      <c r="T17">
        <f t="shared" si="1"/>
        <v>5</v>
      </c>
      <c r="U17">
        <f t="shared" si="1"/>
        <v>6</v>
      </c>
      <c r="V17">
        <f t="shared" si="1"/>
        <v>7</v>
      </c>
      <c r="W17">
        <f t="shared" si="1"/>
        <v>8</v>
      </c>
      <c r="X17">
        <f t="shared" si="1"/>
        <v>9</v>
      </c>
      <c r="Y17">
        <f t="shared" si="1"/>
        <v>10</v>
      </c>
      <c r="Z17">
        <f t="shared" si="1"/>
        <v>11</v>
      </c>
      <c r="AA17">
        <f t="shared" si="1"/>
        <v>12</v>
      </c>
      <c r="AB17">
        <f t="shared" si="1"/>
        <v>13</v>
      </c>
      <c r="AC17">
        <f t="shared" si="1"/>
        <v>14</v>
      </c>
      <c r="AD17">
        <f t="shared" si="1"/>
        <v>15</v>
      </c>
      <c r="AE17">
        <f t="shared" si="1"/>
        <v>15</v>
      </c>
      <c r="AF17">
        <f t="shared" si="1"/>
        <v>15</v>
      </c>
      <c r="AG17">
        <f t="shared" si="1"/>
        <v>15</v>
      </c>
      <c r="AH17">
        <f t="shared" si="1"/>
        <v>15</v>
      </c>
      <c r="AI17">
        <f t="shared" si="1"/>
        <v>15</v>
      </c>
      <c r="AJ17">
        <f t="shared" si="1"/>
        <v>15</v>
      </c>
      <c r="AK17">
        <f t="shared" si="1"/>
        <v>15</v>
      </c>
      <c r="AL17">
        <f t="shared" si="1"/>
        <v>15</v>
      </c>
      <c r="AO17" s="8">
        <f>ROW()</f>
        <v>17</v>
      </c>
    </row>
    <row r="18" spans="1:41" s="74" customFormat="1" ht="13.9" customHeight="1" x14ac:dyDescent="0.2">
      <c r="A18"/>
      <c r="B18" t="s">
        <v>36</v>
      </c>
      <c r="C18"/>
      <c r="D18"/>
      <c r="E18"/>
      <c r="F18"/>
      <c r="G18"/>
      <c r="H18" s="2"/>
      <c r="I18" s="2"/>
      <c r="J18" s="2"/>
      <c r="K18"/>
      <c r="L18"/>
      <c r="M18" s="91">
        <f>IF(Summary!$J78=1,MAX(0,$I$11*MIN(1,M17)+$I$12*(M17-1)),IF(M17=0,0,($I$11*(1+$I$12)^(M17-1))))</f>
        <v>0</v>
      </c>
      <c r="N18" s="91">
        <f>IF(Summary!$J78=1,MAX(0,$I$11*MIN(1,N17)+$I$12*(N17-1)),IF(N17=0,0,($I$11*(1+$I$12)^(N17-1))))</f>
        <v>0</v>
      </c>
      <c r="O18" s="91">
        <f>IF(Summary!$J78=1,MAX(0,$I$11*MIN(1,O17)+$I$12*(O17-1)),IF(O17=0,0,($I$11*(1+$I$12)^(O17-1))))</f>
        <v>0</v>
      </c>
      <c r="P18" s="91">
        <f>IF(Summary!$J78=1,MAX(0,$I$11*MIN(1,P17)+$I$12*(P17-1)),IF(P17=0,0,($I$11*(1+$I$12)^(P17-1))))</f>
        <v>10</v>
      </c>
      <c r="Q18" s="91">
        <f>IF(Summary!$J78=1,MAX(0,$I$11*MIN(1,Q17)+$I$12*(Q17-1)),IF(Q17=0,0,($I$11*(1+$I$12)^(Q17-1))))</f>
        <v>11</v>
      </c>
      <c r="R18" s="91">
        <f>IF(Summary!$J78=1,MAX(0,$I$11*MIN(1,R17)+$I$12*(R17-1)),IF(R17=0,0,($I$11*(1+$I$12)^(R17-1))))</f>
        <v>12.100000000000001</v>
      </c>
      <c r="S18" s="91">
        <f>IF(Summary!$J78=1,MAX(0,$I$11*MIN(1,S17)+$I$12*(S17-1)),IF(S17=0,0,($I$11*(1+$I$12)^(S17-1))))</f>
        <v>13.310000000000004</v>
      </c>
      <c r="T18" s="91">
        <f>IF(Summary!$J78=1,MAX(0,$I$11*MIN(1,T17)+$I$12*(T17-1)),IF(T17=0,0,($I$11*(1+$I$12)^(T17-1))))</f>
        <v>14.641000000000004</v>
      </c>
      <c r="U18" s="91">
        <f>IF(Summary!$J78=1,MAX(0,$I$11*MIN(1,U17)+$I$12*(U17-1)),IF(U17=0,0,($I$11*(1+$I$12)^(U17-1))))</f>
        <v>16.105100000000007</v>
      </c>
      <c r="V18" s="91">
        <f>IF(Summary!$J78=1,MAX(0,$I$11*MIN(1,V17)+$I$12*(V17-1)),IF(V17=0,0,($I$11*(1+$I$12)^(V17-1))))</f>
        <v>17.715610000000009</v>
      </c>
      <c r="W18" s="91">
        <f>IF(Summary!$J78=1,MAX(0,$I$11*MIN(1,W17)+$I$12*(W17-1)),IF(W17=0,0,($I$11*(1+$I$12)^(W17-1))))</f>
        <v>19.487171000000011</v>
      </c>
      <c r="X18" s="91">
        <f>IF(Summary!$J78=1,MAX(0,$I$11*MIN(1,X17)+$I$12*(X17-1)),IF(X17=0,0,($I$11*(1+$I$12)^(X17-1))))</f>
        <v>21.43588810000001</v>
      </c>
      <c r="Y18" s="91">
        <f>IF(Summary!$J78=1,MAX(0,$I$11*MIN(1,Y17)+$I$12*(Y17-1)),IF(Y17=0,0,($I$11*(1+$I$12)^(Y17-1))))</f>
        <v>23.579476910000015</v>
      </c>
      <c r="Z18" s="91">
        <f>IF(Summary!$J78=1,MAX(0,$I$11*MIN(1,Z17)+$I$12*(Z17-1)),IF(Z17=0,0,($I$11*(1+$I$12)^(Z17-1))))</f>
        <v>25.937424601000018</v>
      </c>
      <c r="AA18" s="91">
        <f>IF(Summary!$J78=1,MAX(0,$I$11*MIN(1,AA17)+$I$12*(AA17-1)),IF(AA17=0,0,($I$11*(1+$I$12)^(AA17-1))))</f>
        <v>28.531167061100025</v>
      </c>
      <c r="AB18" s="91">
        <f>IF(Summary!$J78=1,MAX(0,$I$11*MIN(1,AB17)+$I$12*(AB17-1)),IF(AB17=0,0,($I$11*(1+$I$12)^(AB17-1))))</f>
        <v>31.384283767210025</v>
      </c>
      <c r="AC18" s="91">
        <f>IF(Summary!$J78=1,MAX(0,$I$11*MIN(1,AC17)+$I$12*(AC17-1)),IF(AC17=0,0,($I$11*(1+$I$12)^(AC17-1))))</f>
        <v>34.522712143931031</v>
      </c>
      <c r="AD18" s="91">
        <f>IF(Summary!$J78=1,MAX(0,$I$11*MIN(1,AD17)+$I$12*(AD17-1)),IF(AD17=0,0,($I$11*(1+$I$12)^(AD17-1))))</f>
        <v>37.974983358324138</v>
      </c>
      <c r="AE18" s="91">
        <f>IF(Summary!$J78=1,MAX(0,$I$11*MIN(1,AE17)+$I$12*(AE17-1)),IF(AE17=0,0,($I$11*(1+$I$12)^(AE17-1))))</f>
        <v>37.974983358324138</v>
      </c>
      <c r="AF18" s="91">
        <f>IF(Summary!$J78=1,MAX(0,$I$11*MIN(1,AF17)+$I$12*(AF17-1)),IF(AF17=0,0,($I$11*(1+$I$12)^(AF17-1))))</f>
        <v>37.974983358324138</v>
      </c>
      <c r="AG18" s="91">
        <f>IF(Summary!$J78=1,MAX(0,$I$11*MIN(1,AG17)+$I$12*(AG17-1)),IF(AG17=0,0,($I$11*(1+$I$12)^(AG17-1))))</f>
        <v>37.974983358324138</v>
      </c>
      <c r="AH18" s="91">
        <f>IF(Summary!$J78=1,MAX(0,$I$11*MIN(1,AH17)+$I$12*(AH17-1)),IF(AH17=0,0,($I$11*(1+$I$12)^(AH17-1))))</f>
        <v>37.974983358324138</v>
      </c>
      <c r="AI18" s="91">
        <f>IF(Summary!$J78=1,MAX(0,$I$11*MIN(1,AI17)+$I$12*(AI17-1)),IF(AI17=0,0,($I$11*(1+$I$12)^(AI17-1))))</f>
        <v>37.974983358324138</v>
      </c>
      <c r="AJ18" s="91">
        <f>IF(Summary!$J78=1,MAX(0,$I$11*MIN(1,AJ17)+$I$12*(AJ17-1)),IF(AJ17=0,0,($I$11*(1+$I$12)^(AJ17-1))))</f>
        <v>37.974983358324138</v>
      </c>
      <c r="AK18" s="91">
        <f>IF(Summary!$J78=1,MAX(0,$I$11*MIN(1,AK17)+$I$12*(AK17-1)),IF(AK17=0,0,($I$11*(1+$I$12)^(AK17-1))))</f>
        <v>37.974983358324138</v>
      </c>
      <c r="AL18" s="91">
        <f>IF(Summary!$J78=1,MAX(0,$I$11*MIN(1,AL17)+$I$12*(AL17-1)),IF(AL17=0,0,($I$11*(1+$I$12)^(AL17-1))))</f>
        <v>37.974983358324138</v>
      </c>
      <c r="AM18" s="207"/>
      <c r="AO18" s="8">
        <f>ROW()</f>
        <v>18</v>
      </c>
    </row>
    <row r="19" spans="1:41" ht="13.9" customHeight="1" x14ac:dyDescent="0.2">
      <c r="A19" s="74"/>
      <c r="B19" s="74" t="s">
        <v>183</v>
      </c>
      <c r="C19" s="74"/>
      <c r="D19" s="74"/>
      <c r="E19" s="74"/>
      <c r="F19" s="74"/>
      <c r="G19" s="74"/>
      <c r="H19" s="75"/>
      <c r="I19" s="75"/>
      <c r="J19" s="75"/>
      <c r="K19" s="74"/>
      <c r="L19" s="74"/>
      <c r="M19" s="76">
        <f>M18*Parameters!$J$15/2000</f>
        <v>0</v>
      </c>
      <c r="N19" s="76">
        <f>N18*Parameters!$J$15/2000</f>
        <v>0</v>
      </c>
      <c r="O19" s="76">
        <f>O18*Parameters!$J$15/2000</f>
        <v>0</v>
      </c>
      <c r="P19" s="76">
        <f>P18*Parameters!$J$15/2000</f>
        <v>11.025</v>
      </c>
      <c r="Q19" s="76">
        <f>Q18*Parameters!$J$15/2000</f>
        <v>12.1275</v>
      </c>
      <c r="R19" s="76">
        <f>R18*Parameters!$J$15/2000</f>
        <v>13.340250000000001</v>
      </c>
      <c r="S19" s="76">
        <f>S18*Parameters!$J$15/2000</f>
        <v>14.674275000000005</v>
      </c>
      <c r="T19" s="76">
        <f>T18*Parameters!$J$15/2000</f>
        <v>16.141702500000005</v>
      </c>
      <c r="U19" s="76">
        <f>U18*Parameters!$J$15/2000</f>
        <v>17.755872750000009</v>
      </c>
      <c r="V19" s="76">
        <f>V18*Parameters!$J$15/2000</f>
        <v>19.531460025000012</v>
      </c>
      <c r="W19" s="76">
        <f>W18*Parameters!$J$15/2000</f>
        <v>21.484606027500014</v>
      </c>
      <c r="X19" s="76">
        <f>X18*Parameters!$J$15/2000</f>
        <v>23.63306663025001</v>
      </c>
      <c r="Y19" s="76">
        <f>Y18*Parameters!$J$15/2000</f>
        <v>25.996373293275017</v>
      </c>
      <c r="Z19" s="76">
        <f>Z18*Parameters!$J$15/2000</f>
        <v>28.59601062260252</v>
      </c>
      <c r="AA19" s="76">
        <f>AA18*Parameters!$J$15/2000</f>
        <v>31.455611684862774</v>
      </c>
      <c r="AB19" s="76">
        <f>AB18*Parameters!$J$15/2000</f>
        <v>34.601172853349055</v>
      </c>
      <c r="AC19" s="76">
        <f>AC18*Parameters!$J$15/2000</f>
        <v>38.061290138683958</v>
      </c>
      <c r="AD19" s="76">
        <f>AD18*Parameters!$J$15/2000</f>
        <v>41.867419152552365</v>
      </c>
      <c r="AE19" s="76">
        <f>AE18*Parameters!$J$15/2000</f>
        <v>41.867419152552365</v>
      </c>
      <c r="AF19" s="76">
        <f>AF18*Parameters!$J$15/2000</f>
        <v>41.867419152552365</v>
      </c>
      <c r="AG19" s="76">
        <f>AG18*Parameters!$J$15/2000</f>
        <v>41.867419152552365</v>
      </c>
      <c r="AH19" s="76">
        <f>AH18*Parameters!$J$15/2000</f>
        <v>41.867419152552365</v>
      </c>
      <c r="AI19" s="76">
        <f>AI18*Parameters!$J$15/2000</f>
        <v>41.867419152552365</v>
      </c>
      <c r="AJ19" s="76">
        <f>AJ18*Parameters!$J$15/2000</f>
        <v>41.867419152552365</v>
      </c>
      <c r="AK19" s="76">
        <f>AK18*Parameters!$J$15/2000</f>
        <v>41.867419152552365</v>
      </c>
      <c r="AL19" s="76">
        <f>AL18*Parameters!$J$15/2000</f>
        <v>41.867419152552365</v>
      </c>
      <c r="AO19" s="8">
        <f>ROW()</f>
        <v>19</v>
      </c>
    </row>
    <row r="20" spans="1:41" ht="13.9" customHeight="1" x14ac:dyDescent="0.2">
      <c r="A20" s="74"/>
      <c r="B20" s="74"/>
      <c r="C20" s="74"/>
      <c r="D20" s="74"/>
      <c r="E20" s="74"/>
      <c r="F20" s="74"/>
      <c r="G20" s="74"/>
      <c r="H20" s="75"/>
      <c r="I20" s="75"/>
      <c r="J20" s="75"/>
      <c r="K20" s="74"/>
      <c r="L20" s="74"/>
      <c r="M20" s="76"/>
      <c r="N20" s="76"/>
      <c r="O20" s="76"/>
      <c r="P20" s="76"/>
      <c r="Q20" s="76"/>
      <c r="R20" s="76"/>
      <c r="S20" s="76"/>
      <c r="T20" s="76"/>
      <c r="U20" s="76"/>
      <c r="V20" s="76"/>
      <c r="W20" s="76"/>
      <c r="X20" s="76"/>
      <c r="Y20" s="76"/>
      <c r="Z20" s="76"/>
      <c r="AA20" s="76"/>
      <c r="AB20" s="76"/>
      <c r="AC20" s="76"/>
      <c r="AD20" s="76"/>
      <c r="AE20" s="76"/>
      <c r="AF20" s="76"/>
      <c r="AG20" s="76"/>
      <c r="AH20" s="76"/>
      <c r="AI20" s="76"/>
      <c r="AJ20" s="76"/>
      <c r="AK20" s="76"/>
      <c r="AL20" s="76"/>
      <c r="AO20" s="8">
        <f>ROW()</f>
        <v>20</v>
      </c>
    </row>
    <row r="21" spans="1:41" ht="13.9" customHeight="1" x14ac:dyDescent="0.2">
      <c r="B21" t="s">
        <v>23</v>
      </c>
      <c r="E21" s="396" t="s">
        <v>362</v>
      </c>
      <c r="F21" s="392"/>
      <c r="G21" s="392"/>
      <c r="H21" s="392"/>
      <c r="I21" s="392"/>
      <c r="J21" s="392"/>
      <c r="K21">
        <v>5.67</v>
      </c>
      <c r="M21" s="84"/>
      <c r="AO21" s="8">
        <f>ROW()</f>
        <v>21</v>
      </c>
    </row>
    <row r="22" spans="1:41" ht="13.9" customHeight="1" x14ac:dyDescent="0.2">
      <c r="B22" s="42" t="s">
        <v>363</v>
      </c>
      <c r="E22" s="392"/>
      <c r="F22" s="392"/>
      <c r="G22" s="392"/>
      <c r="H22" s="392"/>
      <c r="I22" s="392"/>
      <c r="J22" s="392"/>
      <c r="K22" s="24">
        <f>$K$21*1000000/Parameters!$J$18</f>
        <v>135000</v>
      </c>
      <c r="M22" s="84"/>
      <c r="AO22" s="8">
        <f>ROW()</f>
        <v>22</v>
      </c>
    </row>
    <row r="23" spans="1:41" ht="13.9" customHeight="1" x14ac:dyDescent="0.2">
      <c r="B23" s="9" t="s">
        <v>390</v>
      </c>
      <c r="K23" s="32">
        <f>Emissions!J189/Parameters!J17</f>
        <v>5.7540650430253049</v>
      </c>
      <c r="L23" s="24"/>
      <c r="M23" s="84"/>
      <c r="AO23" s="8">
        <f>ROW()</f>
        <v>23</v>
      </c>
    </row>
    <row r="24" spans="1:41" ht="13.9" customHeight="1" x14ac:dyDescent="0.2">
      <c r="B24" s="172" t="s">
        <v>389</v>
      </c>
      <c r="K24" s="8">
        <f>K23*1000000/K22</f>
        <v>42.622704022409664</v>
      </c>
      <c r="L24" s="24"/>
      <c r="M24" s="84"/>
      <c r="AO24" s="8">
        <f>ROW()</f>
        <v>24</v>
      </c>
    </row>
    <row r="25" spans="1:41" ht="13.9" customHeight="1" x14ac:dyDescent="0.2">
      <c r="B25" s="9" t="s">
        <v>24</v>
      </c>
      <c r="I25" s="22"/>
      <c r="J25" s="22"/>
      <c r="K25" s="256">
        <f>K23*Parameters!$J$14</f>
        <v>21.098238491092783</v>
      </c>
      <c r="L25" s="22"/>
      <c r="M25" s="84"/>
      <c r="P25" s="23"/>
      <c r="Q25" s="7"/>
      <c r="R25" s="7"/>
      <c r="S25" s="7"/>
      <c r="T25" s="7"/>
      <c r="U25" s="7"/>
      <c r="V25" s="7"/>
      <c r="W25" s="7"/>
      <c r="X25" s="7"/>
      <c r="Y25" s="7"/>
      <c r="Z25" s="7"/>
      <c r="AA25" s="7"/>
      <c r="AB25" s="7"/>
      <c r="AC25" s="7"/>
      <c r="AD25" s="7"/>
      <c r="AE25" s="7"/>
      <c r="AF25" s="7"/>
      <c r="AG25" s="7"/>
      <c r="AH25" s="7"/>
      <c r="AI25" s="7"/>
      <c r="AJ25" s="7"/>
      <c r="AK25" s="7"/>
      <c r="AL25" s="7"/>
      <c r="AO25" s="8">
        <f>ROW()</f>
        <v>25</v>
      </c>
    </row>
    <row r="26" spans="1:41" ht="13.9" customHeight="1" x14ac:dyDescent="0.2">
      <c r="B26" s="9"/>
      <c r="I26" s="22"/>
      <c r="J26" s="22"/>
      <c r="K26" s="256"/>
      <c r="L26" s="22"/>
      <c r="M26" s="84"/>
      <c r="P26" s="23"/>
      <c r="Q26" s="7"/>
      <c r="R26" s="7"/>
      <c r="S26" s="7"/>
      <c r="T26" s="7"/>
      <c r="U26" s="7"/>
      <c r="V26" s="7"/>
      <c r="W26" s="7"/>
      <c r="X26" s="7"/>
      <c r="Y26" s="7"/>
      <c r="Z26" s="7"/>
      <c r="AA26" s="7"/>
      <c r="AB26" s="7"/>
      <c r="AC26" s="7"/>
      <c r="AD26" s="7"/>
      <c r="AE26" s="7"/>
      <c r="AF26" s="7"/>
      <c r="AG26" s="7"/>
      <c r="AH26" s="7"/>
      <c r="AI26" s="7"/>
      <c r="AJ26" s="7"/>
      <c r="AK26" s="7"/>
      <c r="AL26" s="7"/>
      <c r="AO26" s="8">
        <f>ROW()</f>
        <v>26</v>
      </c>
    </row>
    <row r="27" spans="1:41" ht="13.9" customHeight="1" x14ac:dyDescent="0.2">
      <c r="B27" s="9"/>
      <c r="H27" s="22"/>
      <c r="I27" s="22"/>
      <c r="J27" s="22"/>
      <c r="K27" s="32"/>
      <c r="L27" s="32"/>
      <c r="M27" s="84"/>
      <c r="P27" s="23"/>
      <c r="Q27" s="7"/>
      <c r="R27" s="7"/>
      <c r="S27" s="7"/>
      <c r="T27" s="7"/>
      <c r="U27" s="7"/>
      <c r="V27" s="7"/>
      <c r="W27" s="7"/>
      <c r="X27" s="7"/>
      <c r="Y27" s="7"/>
      <c r="Z27" s="7"/>
      <c r="AA27" s="7"/>
      <c r="AB27" s="7"/>
      <c r="AC27" s="7"/>
      <c r="AD27" s="7"/>
      <c r="AE27" s="7"/>
      <c r="AF27" s="7"/>
      <c r="AG27" s="7"/>
      <c r="AH27" s="7"/>
      <c r="AI27" s="7"/>
      <c r="AJ27" s="7"/>
      <c r="AK27" s="7"/>
      <c r="AL27" s="7"/>
      <c r="AO27" s="8">
        <f>ROW()</f>
        <v>27</v>
      </c>
    </row>
    <row r="28" spans="1:41" ht="13.9" customHeight="1" x14ac:dyDescent="0.2">
      <c r="B28" s="234" t="s">
        <v>555</v>
      </c>
      <c r="J28" s="299">
        <f>Summary!J89*IF(Summary!E95="YES",1,0)</f>
        <v>6</v>
      </c>
      <c r="K28" s="300" t="s">
        <v>7</v>
      </c>
      <c r="M28" s="94">
        <f>IF(Summary!$J78=1,MAX(0,$J$28*MIN(1,M17)+$J$29*(M17-1)),IF(M17=0,0,($J$28*(1+$J$29/100)^(M17-1))))</f>
        <v>0</v>
      </c>
      <c r="N28" s="94">
        <f>IF(Summary!$J78=1,MAX(0,$J$28*MIN(1,N17)+$J$29*(N17-1)),IF(N17=0,0,($J$28*(1+$J$29/100)^(N17-1))))</f>
        <v>0</v>
      </c>
      <c r="O28" s="94">
        <f>IF(Summary!$J78=1,MAX(0,$J$28*MIN(1,O17)+$J$29*(O17-1)),IF(O17=0,0,($J$28*(1+$J$29/100)^(O17-1))))</f>
        <v>0</v>
      </c>
      <c r="P28" s="94">
        <f>IF(Summary!$J78=1,MAX(0,$J$28*MIN(1,P17)+$J$29*(P17-1)),IF(P17=0,0,($J$28*(1+$J$29/100)^(P17-1))))</f>
        <v>6</v>
      </c>
      <c r="Q28" s="94">
        <f>IF(Summary!$J78=1,MAX(0,$J$28*MIN(1,Q17)+$J$29*(Q17-1)),IF(Q17=0,0,($J$28*(1+$J$29/100)^(Q17-1))))</f>
        <v>6.6000000000000005</v>
      </c>
      <c r="R28" s="94">
        <f>IF(Summary!$J78=1,MAX(0,$J$28*MIN(1,R17)+$J$29*(R17-1)),IF(R17=0,0,($J$28*(1+$J$29/100)^(R17-1))))</f>
        <v>7.2600000000000016</v>
      </c>
      <c r="S28" s="94">
        <f>IF(Summary!$J78=1,MAX(0,$J$28*MIN(1,S17)+$J$29*(S17-1)),IF(S17=0,0,($J$28*(1+$J$29/100)^(S17-1))))</f>
        <v>7.9860000000000024</v>
      </c>
      <c r="T28" s="94">
        <f>IF(Summary!$J78=1,MAX(0,$J$28*MIN(1,T17)+$J$29*(T17-1)),IF(T17=0,0,($J$28*(1+$J$29/100)^(T17-1))))</f>
        <v>8.7846000000000029</v>
      </c>
      <c r="U28" s="94">
        <f>IF(Summary!$J78=1,MAX(0,$J$28*MIN(1,U17)+$J$29*(U17-1)),IF(U17=0,0,($J$28*(1+$J$29/100)^(U17-1))))</f>
        <v>9.6630600000000033</v>
      </c>
      <c r="V28" s="94">
        <f>IF(Summary!$J78=1,MAX(0,$J$28*MIN(1,V17)+$J$29*(V17-1)),IF(V17=0,0,($J$28*(1+$J$29/100)^(V17-1))))</f>
        <v>10.629366000000005</v>
      </c>
      <c r="W28" s="94">
        <f>IF(Summary!$J78=1,MAX(0,$J$28*MIN(1,W17)+$J$29*(W17-1)),IF(W17=0,0,($J$28*(1+$J$29/100)^(W17-1))))</f>
        <v>11.692302600000007</v>
      </c>
      <c r="X28" s="94">
        <f>IF(Summary!$J78=1,MAX(0,$J$28*MIN(1,X17)+$J$29*(X17-1)),IF(X17=0,0,($J$28*(1+$J$29/100)^(X17-1))))</f>
        <v>12.861532860000008</v>
      </c>
      <c r="Y28" s="94">
        <f>IF(Summary!$J78=1,MAX(0,$J$28*MIN(1,Y17)+$J$29*(Y17-1)),IF(Y17=0,0,($J$28*(1+$J$29/100)^(Y17-1))))</f>
        <v>14.147686146000009</v>
      </c>
      <c r="Z28" s="94">
        <f>IF(Summary!$J78=1,MAX(0,$J$28*MIN(1,Z17)+$J$29*(Z17-1)),IF(Z17=0,0,($J$28*(1+$J$29/100)^(Z17-1))))</f>
        <v>15.562454760600012</v>
      </c>
      <c r="AA28" s="94">
        <f>IF(Summary!$J78=1,MAX(0,$J$28*MIN(1,AA17)+$J$29*(AA17-1)),IF(AA17=0,0,($J$28*(1+$J$29/100)^(AA17-1))))</f>
        <v>17.118700236660015</v>
      </c>
      <c r="AB28" s="94">
        <f>IF(Summary!$J78=1,MAX(0,$J$28*MIN(1,AB17)+$J$29*(AB17-1)),IF(AB17=0,0,($J$28*(1+$J$29/100)^(AB17-1))))</f>
        <v>18.830570260326017</v>
      </c>
      <c r="AC28" s="94">
        <f>IF(Summary!$J78=1,MAX(0,$J$28*MIN(1,AC17)+$J$29*(AC17-1)),IF(AC17=0,0,($J$28*(1+$J$29/100)^(AC17-1))))</f>
        <v>20.713627286358616</v>
      </c>
      <c r="AD28" s="94">
        <f>IF(Summary!$J78=1,MAX(0,$J$28*MIN(1,AD17)+$J$29*(AD17-1)),IF(AD17=0,0,($J$28*(1+$J$29/100)^(AD17-1))))</f>
        <v>22.784990014994484</v>
      </c>
      <c r="AE28" s="94">
        <f>IF(Summary!$J78=1,MAX(0,$J$28*MIN(1,AE17)+$J$29*(AE17-1)),IF(AE17=0,0,($J$28*(1+$J$29/100)^(AE17-1))))</f>
        <v>22.784990014994484</v>
      </c>
      <c r="AF28" s="94">
        <f>IF(Summary!$J78=1,MAX(0,$J$28*MIN(1,AF17)+$J$29*(AF17-1)),IF(AF17=0,0,($J$28*(1+$J$29/100)^(AF17-1))))</f>
        <v>22.784990014994484</v>
      </c>
      <c r="AG28" s="94">
        <f>IF(Summary!$J78=1,MAX(0,$J$28*MIN(1,AG17)+$J$29*(AG17-1)),IF(AG17=0,0,($J$28*(1+$J$29/100)^(AG17-1))))</f>
        <v>22.784990014994484</v>
      </c>
      <c r="AH28" s="94">
        <f>IF(Summary!$J78=1,MAX(0,$J$28*MIN(1,AH17)+$J$29*(AH17-1)),IF(AH17=0,0,($J$28*(1+$J$29/100)^(AH17-1))))</f>
        <v>22.784990014994484</v>
      </c>
      <c r="AI28" s="94">
        <f>IF(Summary!$J78=1,MAX(0,$J$28*MIN(1,AI17)+$J$29*(AI17-1)),IF(AI17=0,0,($J$28*(1+$J$29/100)^(AI17-1))))</f>
        <v>22.784990014994484</v>
      </c>
      <c r="AJ28" s="94">
        <f>IF(Summary!$J78=1,MAX(0,$J$28*MIN(1,AJ17)+$J$29*(AJ17-1)),IF(AJ17=0,0,($J$28*(1+$J$29/100)^(AJ17-1))))</f>
        <v>22.784990014994484</v>
      </c>
      <c r="AK28" s="94">
        <f>IF(Summary!$J78=1,MAX(0,$J$28*MIN(1,AK17)+$J$29*(AK17-1)),IF(AK17=0,0,($J$28*(1+$J$29/100)^(AK17-1))))</f>
        <v>22.784990014994484</v>
      </c>
      <c r="AL28" s="94">
        <f>IF(Summary!$J78=1,MAX(0,$J$28*MIN(1,AL17)+$J$29*(AL17-1)),IF(AL17=0,0,($J$28*(1+$J$29/100)^(AL17-1))))</f>
        <v>22.784990014994484</v>
      </c>
      <c r="AO28" s="8">
        <f>ROW()</f>
        <v>28</v>
      </c>
    </row>
    <row r="29" spans="1:41" ht="13.9" customHeight="1" x14ac:dyDescent="0.2">
      <c r="B29" s="234" t="s">
        <v>537</v>
      </c>
      <c r="J29" s="299">
        <f>IF(Summary!J78=1,MAX(J28*I12/I11, 0.0001),Summary!J85*100*IF(Summary!E95="YES",1,0))</f>
        <v>10</v>
      </c>
      <c r="K29" s="300" t="str">
        <f>IF(Summary!$J$78=1,"¢/gal","%")</f>
        <v>%</v>
      </c>
      <c r="L29" s="246"/>
      <c r="M29" s="84"/>
      <c r="P29" s="155"/>
      <c r="Q29" s="7"/>
      <c r="R29" s="7"/>
      <c r="S29" s="7"/>
      <c r="T29" s="7"/>
      <c r="U29" s="7"/>
      <c r="V29" s="7"/>
      <c r="W29" s="7"/>
      <c r="X29" s="7"/>
      <c r="Y29" s="7"/>
      <c r="Z29" s="7"/>
      <c r="AA29" s="7"/>
      <c r="AB29" s="7"/>
      <c r="AC29" s="7"/>
      <c r="AD29" s="7"/>
      <c r="AE29" s="7"/>
      <c r="AF29" s="7"/>
      <c r="AG29" s="7"/>
      <c r="AH29" s="7"/>
      <c r="AI29" s="7"/>
      <c r="AJ29" s="7"/>
      <c r="AK29" s="7"/>
      <c r="AL29" s="7"/>
      <c r="AO29" s="8">
        <f>ROW()</f>
        <v>29</v>
      </c>
    </row>
    <row r="30" spans="1:41" ht="13.9" customHeight="1" x14ac:dyDescent="0.2">
      <c r="B30" s="9"/>
      <c r="H30" s="22"/>
      <c r="I30" s="165">
        <v>2005</v>
      </c>
      <c r="J30" s="165"/>
      <c r="K30" s="165">
        <f>K7</f>
        <v>2007</v>
      </c>
      <c r="L30" s="165"/>
      <c r="M30" s="165">
        <f>M7</f>
        <v>2009</v>
      </c>
      <c r="N30" s="165">
        <f>N7</f>
        <v>2010</v>
      </c>
      <c r="O30" s="165">
        <f>O7</f>
        <v>2011</v>
      </c>
      <c r="P30" s="165">
        <f t="shared" ref="P30:AL30" si="2">P7</f>
        <v>2012</v>
      </c>
      <c r="Q30" s="165">
        <f t="shared" si="2"/>
        <v>2013</v>
      </c>
      <c r="R30" s="165">
        <f t="shared" si="2"/>
        <v>2014</v>
      </c>
      <c r="S30" s="165">
        <f t="shared" si="2"/>
        <v>2015</v>
      </c>
      <c r="T30" s="165">
        <f t="shared" si="2"/>
        <v>2016</v>
      </c>
      <c r="U30" s="165">
        <f t="shared" si="2"/>
        <v>2017</v>
      </c>
      <c r="V30" s="165">
        <f t="shared" si="2"/>
        <v>2018</v>
      </c>
      <c r="W30" s="165">
        <f t="shared" si="2"/>
        <v>2019</v>
      </c>
      <c r="X30" s="165">
        <f t="shared" si="2"/>
        <v>2020</v>
      </c>
      <c r="Y30" s="165">
        <f t="shared" si="2"/>
        <v>2021</v>
      </c>
      <c r="Z30" s="165">
        <f t="shared" si="2"/>
        <v>2022</v>
      </c>
      <c r="AA30" s="165">
        <f t="shared" si="2"/>
        <v>2023</v>
      </c>
      <c r="AB30" s="165">
        <f t="shared" si="2"/>
        <v>2024</v>
      </c>
      <c r="AC30" s="165">
        <f t="shared" si="2"/>
        <v>2025</v>
      </c>
      <c r="AD30" s="165">
        <f t="shared" si="2"/>
        <v>2026</v>
      </c>
      <c r="AE30" s="165">
        <f t="shared" si="2"/>
        <v>2027</v>
      </c>
      <c r="AF30" s="165">
        <f t="shared" si="2"/>
        <v>2028</v>
      </c>
      <c r="AG30" s="165">
        <f t="shared" si="2"/>
        <v>2029</v>
      </c>
      <c r="AH30" s="165">
        <f t="shared" si="2"/>
        <v>2030</v>
      </c>
      <c r="AI30" s="165">
        <f t="shared" si="2"/>
        <v>2031</v>
      </c>
      <c r="AJ30" s="165">
        <f t="shared" si="2"/>
        <v>2032</v>
      </c>
      <c r="AK30" s="165">
        <f t="shared" si="2"/>
        <v>2033</v>
      </c>
      <c r="AL30" s="165">
        <f t="shared" si="2"/>
        <v>2034</v>
      </c>
      <c r="AO30" s="8">
        <f>ROW()</f>
        <v>30</v>
      </c>
    </row>
    <row r="31" spans="1:41" ht="13.9" customHeight="1" x14ac:dyDescent="0.2">
      <c r="B31" t="s">
        <v>151</v>
      </c>
      <c r="H31" s="123"/>
      <c r="I31" s="166">
        <f>Emissions!T119</f>
        <v>1698.1849999999999</v>
      </c>
      <c r="J31" s="166"/>
      <c r="K31" s="166">
        <f>Emissions!T121</f>
        <v>1639.5309999999999</v>
      </c>
      <c r="L31" s="166"/>
      <c r="M31" s="166">
        <f>Emissions!T123</f>
        <v>1407.604</v>
      </c>
      <c r="N31" s="166">
        <f>Emissions!T124</f>
        <v>1445.4229999999998</v>
      </c>
      <c r="O31" s="166">
        <f>Emissions!T125</f>
        <v>1447.5927781314563</v>
      </c>
      <c r="AO31" s="8">
        <f>ROW()</f>
        <v>31</v>
      </c>
    </row>
    <row r="32" spans="1:41" ht="13.9" customHeight="1" x14ac:dyDescent="0.2">
      <c r="B32" t="s">
        <v>152</v>
      </c>
      <c r="I32" s="24">
        <f>I31*Parameters!$J$19</f>
        <v>619837.52500000002</v>
      </c>
      <c r="J32" s="24"/>
      <c r="K32" s="24">
        <f>K31*Parameters!$J$19</f>
        <v>598428.81499999994</v>
      </c>
      <c r="L32" s="24"/>
      <c r="M32" s="24">
        <f>M31*Parameters!$J$19</f>
        <v>513775.46</v>
      </c>
      <c r="N32" s="24">
        <f>N31*Parameters!$J$19</f>
        <v>527579.3949999999</v>
      </c>
      <c r="O32" s="24">
        <f>O31*Parameters!$J$19</f>
        <v>528371.36401798157</v>
      </c>
      <c r="AO32" s="8">
        <f>ROW()</f>
        <v>32</v>
      </c>
    </row>
    <row r="33" spans="2:41" ht="13.9" customHeight="1" x14ac:dyDescent="0.2">
      <c r="B33" s="110" t="s">
        <v>178</v>
      </c>
      <c r="M33" s="84"/>
      <c r="AO33" s="8">
        <f>ROW()</f>
        <v>33</v>
      </c>
    </row>
    <row r="34" spans="2:41" ht="13.9" customHeight="1" x14ac:dyDescent="0.2">
      <c r="B34" t="s">
        <v>153</v>
      </c>
      <c r="I34" s="166">
        <f>I32*Parameters!$J$18/1000</f>
        <v>26033.176050000002</v>
      </c>
      <c r="K34" s="166">
        <f>K32*Parameters!$J$18/1000</f>
        <v>25134.010229999996</v>
      </c>
      <c r="L34" s="24"/>
      <c r="M34" s="166">
        <f>M32*Parameters!$J$18/1000</f>
        <v>21578.569319999999</v>
      </c>
      <c r="N34" s="166">
        <f>N32*Parameters!$J$18/1000</f>
        <v>22158.334589999995</v>
      </c>
      <c r="O34" s="166">
        <f>O32*Parameters!$J$18/1000</f>
        <v>22191.597288755227</v>
      </c>
      <c r="AO34" s="8">
        <f>ROW()</f>
        <v>34</v>
      </c>
    </row>
    <row r="35" spans="2:41" ht="13.9" customHeight="1" x14ac:dyDescent="0.2">
      <c r="L35" s="84"/>
      <c r="M35" s="84"/>
      <c r="P35" s="84"/>
      <c r="AO35" s="8">
        <f>ROW()</f>
        <v>35</v>
      </c>
    </row>
    <row r="36" spans="2:41" ht="13.9" customHeight="1" x14ac:dyDescent="0.2">
      <c r="B36" s="42" t="s">
        <v>388</v>
      </c>
      <c r="J36" s="66"/>
      <c r="K36" s="257">
        <f>(1+'Personal Ground Travel'!$K$36)*(1+0.005)-1</f>
        <v>2.2084999999999688E-2</v>
      </c>
      <c r="L36" s="481" t="s">
        <v>386</v>
      </c>
      <c r="M36" s="429"/>
      <c r="N36" s="429"/>
      <c r="O36" s="429"/>
      <c r="P36" s="429"/>
      <c r="Q36" s="429"/>
      <c r="R36" s="429"/>
      <c r="S36" s="429"/>
      <c r="T36" s="429"/>
      <c r="U36" s="429"/>
      <c r="AO36" s="8">
        <f>ROW()</f>
        <v>36</v>
      </c>
    </row>
    <row r="37" spans="2:41" ht="13.9" customHeight="1" x14ac:dyDescent="0.2">
      <c r="H37" s="5"/>
      <c r="I37" s="5"/>
      <c r="J37" s="5"/>
      <c r="L37" s="429"/>
      <c r="M37" s="429"/>
      <c r="N37" s="429"/>
      <c r="O37" s="429"/>
      <c r="P37" s="429"/>
      <c r="Q37" s="429"/>
      <c r="R37" s="429"/>
      <c r="S37" s="429"/>
      <c r="T37" s="429"/>
      <c r="U37" s="429"/>
      <c r="AO37" s="8">
        <f>ROW()</f>
        <v>37</v>
      </c>
    </row>
    <row r="38" spans="2:41" ht="13.9" customHeight="1" x14ac:dyDescent="0.2">
      <c r="B38" s="42" t="s">
        <v>366</v>
      </c>
      <c r="K38" s="5">
        <v>0.9</v>
      </c>
      <c r="L38" s="429"/>
      <c r="M38" s="429"/>
      <c r="N38" s="429"/>
      <c r="O38" s="429"/>
      <c r="P38" s="429"/>
      <c r="Q38" s="429"/>
      <c r="R38" s="429"/>
      <c r="S38" s="429"/>
      <c r="T38" s="429"/>
      <c r="U38" s="429"/>
      <c r="AO38" s="8">
        <f>ROW()</f>
        <v>38</v>
      </c>
    </row>
    <row r="39" spans="2:41" ht="13.9" customHeight="1" x14ac:dyDescent="0.2">
      <c r="B39" s="258" t="s">
        <v>367</v>
      </c>
      <c r="K39" s="8"/>
      <c r="L39" s="259"/>
      <c r="M39" s="259"/>
      <c r="N39" s="259"/>
      <c r="O39" s="259"/>
      <c r="P39" s="259"/>
      <c r="Q39" s="259"/>
      <c r="R39" s="259"/>
      <c r="S39" s="259"/>
      <c r="T39" s="259"/>
      <c r="U39" s="259"/>
      <c r="AO39" s="8">
        <f>ROW()</f>
        <v>39</v>
      </c>
    </row>
    <row r="40" spans="2:41" ht="13.9" customHeight="1" x14ac:dyDescent="0.2">
      <c r="B40" s="42" t="s">
        <v>387</v>
      </c>
      <c r="K40" s="257">
        <f>K36*K38</f>
        <v>1.9876499999999721E-2</v>
      </c>
      <c r="L40" s="259"/>
      <c r="M40" s="259"/>
      <c r="N40" s="259"/>
      <c r="O40" s="259"/>
      <c r="P40" s="259"/>
      <c r="Q40" s="259"/>
      <c r="R40" s="259"/>
      <c r="S40" s="259"/>
      <c r="T40" s="259"/>
      <c r="U40" s="259"/>
      <c r="AO40" s="8">
        <f>ROW()</f>
        <v>40</v>
      </c>
    </row>
    <row r="41" spans="2:41" ht="13.9" customHeight="1" x14ac:dyDescent="0.2">
      <c r="B41" s="258" t="str">
        <f>CONCATENATE("Product of Rows ",AO36, " and ",AO38, ".")</f>
        <v>Product of Rows 36 and 38.</v>
      </c>
      <c r="M41" s="84"/>
      <c r="AO41" s="8">
        <f>ROW()</f>
        <v>41</v>
      </c>
    </row>
    <row r="42" spans="2:41" ht="13.9" customHeight="1" x14ac:dyDescent="0.2">
      <c r="B42" t="s">
        <v>30</v>
      </c>
      <c r="I42" s="47">
        <f>I34</f>
        <v>26033.176050000002</v>
      </c>
      <c r="K42" s="47">
        <f>K34</f>
        <v>25134.010229999996</v>
      </c>
      <c r="M42" s="47">
        <f>M34</f>
        <v>21578.569319999999</v>
      </c>
      <c r="N42" s="47">
        <f>N34</f>
        <v>22158.334589999995</v>
      </c>
      <c r="O42" s="47">
        <f>O34</f>
        <v>22191.597288755227</v>
      </c>
      <c r="P42" s="24">
        <f>O42*((1+Parameters!$J$8)^Parameters!$G$47)*((1+Parameters!$J$9)^Parameters!$G$47)^(P7-2012)*((1+$K$40)^Parameters!$F$47)^(P7-2011)</f>
        <v>22260.045821102627</v>
      </c>
      <c r="Q42" s="24">
        <f>P42*((1+Parameters!$J$9)^Parameters!$G$47)*(1+$K$40)^Parameters!$F$47</f>
        <v>22438.699101523889</v>
      </c>
      <c r="R42" s="24">
        <f>Q42*((1+Parameters!$J$9)^Parameters!$G$47)*(1+$K$40)^Parameters!$F$47</f>
        <v>22618.786206244604</v>
      </c>
      <c r="S42" s="24">
        <f>R42*((1+Parameters!$J$9)^Parameters!$G$47)*(1+$K$40)^Parameters!$F$47</f>
        <v>22800.318642761958</v>
      </c>
      <c r="T42" s="24">
        <f>S42*((1+Parameters!$J$9)^Parameters!$G$47)*(1+$K$40)^Parameters!$F$47</f>
        <v>22983.308010929293</v>
      </c>
      <c r="U42" s="24">
        <f>T42*((1+Parameters!$J$9)^Parameters!$G$47)*(1+$K$40)^Parameters!$F$47</f>
        <v>23167.76600369731</v>
      </c>
      <c r="V42" s="24">
        <f>U42*((1+Parameters!$J$9)^Parameters!$G$47)*(1+$K$40)^Parameters!$F$47</f>
        <v>23353.704407861282</v>
      </c>
      <c r="W42" s="24">
        <f>V42*((1+Parameters!$J$9)^Parameters!$G$47)*(1+$K$40)^Parameters!$F$47</f>
        <v>23541.135104814188</v>
      </c>
      <c r="X42" s="24">
        <f>W42*((1+Parameters!$J$9)^Parameters!$G$47)*(1+$K$40)^Parameters!$F$47</f>
        <v>23730.070071305949</v>
      </c>
      <c r="Y42" s="24">
        <f>X42*((1+Parameters!$J$9)^Parameters!$G$47)*(1+$K$40)^Parameters!$F$47</f>
        <v>23920.521380208742</v>
      </c>
      <c r="Z42" s="24">
        <f>Y42*((1+Parameters!$J$9)^Parameters!$G$47)*(1+$K$40)^Parameters!$F$47</f>
        <v>24112.50120128844</v>
      </c>
      <c r="AA42" s="24">
        <f>Z42*((1+Parameters!$J$9)^Parameters!$G$47)*(1+$K$40)^Parameters!$F$47</f>
        <v>24306.021801982261</v>
      </c>
      <c r="AB42" s="24">
        <f>AA42*((1+Parameters!$J$9)^Parameters!$G$47)*(1+$K$40)^Parameters!$F$47</f>
        <v>24501.095548182646</v>
      </c>
      <c r="AC42" s="24">
        <f>AB42*((1+Parameters!$J$9)^Parameters!$G$47)*(1+$K$40)^Parameters!$F$47</f>
        <v>24697.73490502745</v>
      </c>
      <c r="AD42" s="24">
        <f>AC42*((1+Parameters!$J$9)^Parameters!$G$47)*(1+$K$40)^Parameters!$F$47</f>
        <v>24895.952437696444</v>
      </c>
      <c r="AE42" s="24">
        <f>AD42*((1+Parameters!$J$9)^Parameters!$G$47)*(1+$K$40)^Parameters!$F$47</f>
        <v>25095.760812214237</v>
      </c>
      <c r="AF42" s="24">
        <f>AE42*((1+Parameters!$J$9)^Parameters!$G$47)*(1+$K$40)^Parameters!$F$47</f>
        <v>25297.172796259616</v>
      </c>
      <c r="AG42" s="24">
        <f>AF42*((1+Parameters!$J$9)^Parameters!$G$47)*(1+$K$40)^Parameters!$F$47</f>
        <v>25500.201259981412</v>
      </c>
      <c r="AH42" s="24">
        <f>AG42*((1+Parameters!$J$9)^Parameters!$G$47)*(1+$K$40)^Parameters!$F$47</f>
        <v>25704.859176820883</v>
      </c>
      <c r="AI42" s="24">
        <f>AH42*((1+Parameters!$J$9)^Parameters!$G$47)*(1+$K$40)^Parameters!$F$47</f>
        <v>25911.159624340718</v>
      </c>
      <c r="AJ42" s="24">
        <f>AI42*((1+Parameters!$J$9)^Parameters!$G$47)*(1+$K$40)^Parameters!$F$47</f>
        <v>26119.115785060698</v>
      </c>
      <c r="AK42" s="24">
        <f>AJ42*((1+Parameters!$J$9)^Parameters!$G$47)*(1+$K$40)^Parameters!$F$47</f>
        <v>26328.740947300041</v>
      </c>
      <c r="AL42" s="24">
        <f>AK42*((1+Parameters!$J$9)^Parameters!$G$47)*(1+$K$40)^Parameters!$F$47</f>
        <v>26540.048506026516</v>
      </c>
      <c r="AM42" s="24"/>
      <c r="AO42" s="8">
        <f>ROW()</f>
        <v>42</v>
      </c>
    </row>
    <row r="43" spans="2:41" ht="13.9" customHeight="1" x14ac:dyDescent="0.2">
      <c r="B43" s="396" t="str">
        <f>CONCATENATE("2005-2011 figures are from Row ",AO34, ". Figures for 2012 and later apply income-elasticity for aviation fuel given in Parameters page, Row ",Parameters!$O$47," to assumed GDP growth rates given in Row ",Parameters!$O$8, " from same tab.")</f>
        <v>2005-2011 figures are from Row 34. Figures for 2012 and later apply income-elasticity for aviation fuel given in Parameters page, Row 47 to assumed GDP growth rates given in Row 8 from same tab.</v>
      </c>
      <c r="C43" s="392"/>
      <c r="D43" s="392"/>
      <c r="E43" s="392"/>
      <c r="F43" s="392"/>
      <c r="G43" s="392"/>
      <c r="H43" s="392"/>
      <c r="I43" s="392"/>
      <c r="J43" s="392"/>
      <c r="K43" s="392"/>
      <c r="L43" s="392"/>
      <c r="M43" s="423"/>
      <c r="AO43" s="8">
        <f>ROW()</f>
        <v>43</v>
      </c>
    </row>
    <row r="44" spans="2:41" ht="13.9" customHeight="1" x14ac:dyDescent="0.2">
      <c r="B44" s="392"/>
      <c r="C44" s="392"/>
      <c r="D44" s="392"/>
      <c r="E44" s="392"/>
      <c r="F44" s="392"/>
      <c r="G44" s="392"/>
      <c r="H44" s="392"/>
      <c r="I44" s="392"/>
      <c r="J44" s="392"/>
      <c r="K44" s="392"/>
      <c r="L44" s="392"/>
      <c r="M44" s="423"/>
      <c r="N44"/>
      <c r="O44"/>
      <c r="AO44" s="8">
        <f>ROW()</f>
        <v>44</v>
      </c>
    </row>
    <row r="45" spans="2:41" ht="13.9" customHeight="1" x14ac:dyDescent="0.2">
      <c r="M45"/>
      <c r="N45"/>
      <c r="O45"/>
      <c r="AO45" s="8">
        <f>ROW()</f>
        <v>45</v>
      </c>
    </row>
    <row r="46" spans="2:41" ht="13.9" customHeight="1" x14ac:dyDescent="0.2">
      <c r="B46" t="s">
        <v>193</v>
      </c>
      <c r="H46" s="19"/>
      <c r="I46" s="19"/>
      <c r="J46" s="19"/>
      <c r="M46" s="174">
        <f>M42*$K$25/Parameters!$J$15</f>
        <v>206.47156544668383</v>
      </c>
      <c r="N46" s="174">
        <f>N42*$K$25/Parameters!$J$15</f>
        <v>212.0189694989798</v>
      </c>
      <c r="O46" s="174">
        <f>O42*$K$25/Parameters!$J$15</f>
        <v>212.33723904600714</v>
      </c>
      <c r="P46" s="19">
        <f>P42*$K$25/Parameters!$J$15</f>
        <v>212.99217939060156</v>
      </c>
      <c r="Q46" s="19">
        <f>Q42*$K$25/Parameters!$J$15</f>
        <v>214.70159867293441</v>
      </c>
      <c r="R46" s="19">
        <f>R42*$K$25/Parameters!$J$15</f>
        <v>216.42473730539157</v>
      </c>
      <c r="S46" s="19">
        <f>S42*$K$25/Parameters!$J$15</f>
        <v>218.16170539587333</v>
      </c>
      <c r="T46" s="19">
        <f>T42*$K$25/Parameters!$J$15</f>
        <v>219.91261393597711</v>
      </c>
      <c r="U46" s="19">
        <f>U42*$K$25/Parameters!$J$15</f>
        <v>221.67757480808953</v>
      </c>
      <c r="V46" s="19">
        <f>V42*$K$25/Parameters!$J$15</f>
        <v>223.45670079253608</v>
      </c>
      <c r="W46" s="19">
        <f>W42*$K$25/Parameters!$J$15</f>
        <v>225.2501055747874</v>
      </c>
      <c r="X46" s="19">
        <f>X42*$K$25/Parameters!$J$15</f>
        <v>227.05790375272383</v>
      </c>
      <c r="Y46" s="19">
        <f>Y42*$K$25/Parameters!$J$15</f>
        <v>228.88021084395825</v>
      </c>
      <c r="Z46" s="19">
        <f>Z42*$K$25/Parameters!$J$15</f>
        <v>230.71714329321756</v>
      </c>
      <c r="AA46" s="19">
        <f>AA42*$K$25/Parameters!$J$15</f>
        <v>232.56881847978343</v>
      </c>
      <c r="AB46" s="19">
        <f>AB42*$K$25/Parameters!$J$15</f>
        <v>234.43535472499281</v>
      </c>
      <c r="AC46" s="19">
        <f>AC42*$K$25/Parameters!$J$15</f>
        <v>236.31687129979858</v>
      </c>
      <c r="AD46" s="19">
        <f>AD42*$K$25/Parameters!$J$15</f>
        <v>238.21348843239105</v>
      </c>
      <c r="AE46" s="19">
        <f>AE42*$K$25/Parameters!$J$15</f>
        <v>240.12532731588041</v>
      </c>
      <c r="AF46" s="19">
        <f>AF42*$K$25/Parameters!$J$15</f>
        <v>242.05251011604076</v>
      </c>
      <c r="AG46" s="19">
        <f>AG42*$K$25/Parameters!$J$15</f>
        <v>243.99515997911678</v>
      </c>
      <c r="AH46" s="19">
        <f>AH42*$K$25/Parameters!$J$15</f>
        <v>245.95340103969244</v>
      </c>
      <c r="AI46" s="19">
        <f>AI42*$K$25/Parameters!$J$15</f>
        <v>247.92735842862336</v>
      </c>
      <c r="AJ46" s="19">
        <f>AJ42*$K$25/Parameters!$J$15</f>
        <v>249.91715828103253</v>
      </c>
      <c r="AK46" s="19">
        <f>AK42*$K$25/Parameters!$J$15</f>
        <v>251.92292774437024</v>
      </c>
      <c r="AL46" s="19">
        <f>AL42*$K$25/Parameters!$J$15</f>
        <v>253.94479498653885</v>
      </c>
      <c r="AM46" s="19"/>
      <c r="AO46" s="8">
        <f>ROW()</f>
        <v>46</v>
      </c>
    </row>
    <row r="47" spans="2:41" ht="13.9" customHeight="1" x14ac:dyDescent="0.2">
      <c r="B47" s="110"/>
      <c r="M47" s="84"/>
      <c r="AO47" s="8">
        <f>ROW()</f>
        <v>47</v>
      </c>
    </row>
    <row r="48" spans="2:41" ht="13.9" customHeight="1" x14ac:dyDescent="0.2">
      <c r="B48" s="66" t="s">
        <v>37</v>
      </c>
      <c r="F48" s="261">
        <v>10</v>
      </c>
      <c r="G48" s="103" t="s">
        <v>54</v>
      </c>
      <c r="I48" s="67">
        <f>'Personal Ground Travel'!I48/5</f>
        <v>2E-3</v>
      </c>
      <c r="J48" s="67"/>
      <c r="M48" s="84"/>
      <c r="AO48" s="8">
        <f>ROW()</f>
        <v>48</v>
      </c>
    </row>
    <row r="49" spans="1:41" ht="13.9" customHeight="1" x14ac:dyDescent="0.2">
      <c r="B49" s="110" t="str">
        <f>CONCATENATE("CTC estimate. See discussion in Row ",'Personal Ground Travel'!AO49, ", Personal Ground Travel worksheet. We have divided that figure by 5 to reflect higher fuel purity required for aircraft engines.")</f>
        <v>CTC estimate. See discussion in Row 49, Personal Ground Travel worksheet. We have divided that figure by 5 to reflect higher fuel purity required for aircraft engines.</v>
      </c>
      <c r="H49" s="5"/>
      <c r="I49" s="5"/>
      <c r="J49" s="5"/>
      <c r="M49" s="84"/>
      <c r="AO49" s="8">
        <f>ROW()</f>
        <v>49</v>
      </c>
    </row>
    <row r="50" spans="1:41" ht="13.9" customHeight="1" x14ac:dyDescent="0.2">
      <c r="B50" t="s">
        <v>25</v>
      </c>
      <c r="F50" s="2"/>
      <c r="G50" s="34"/>
      <c r="K50" s="33"/>
      <c r="L50" s="33"/>
      <c r="M50" s="306"/>
      <c r="N50" s="306">
        <f>N19*N55*(1/Parameters!$J$15)+N28/100</f>
        <v>0</v>
      </c>
      <c r="O50" s="306">
        <f>O19*O55*(1/Parameters!$J$15)+O28/100</f>
        <v>0</v>
      </c>
      <c r="P50" s="33">
        <f>P19*P55*(1/Parameters!$J$15)+P28/100</f>
        <v>0.16528021007055299</v>
      </c>
      <c r="Q50" s="33">
        <f>Q19*Q55*(1/Parameters!$J$15)+Q28/100</f>
        <v>0.18178504855946853</v>
      </c>
      <c r="R50" s="33">
        <f>R19*R55*(1/Parameters!$J$15)+R28/100</f>
        <v>0.19993550846441321</v>
      </c>
      <c r="S50" s="33">
        <f>S19*S55*(1/Parameters!$J$15)+S28/100</f>
        <v>0.21989513276591388</v>
      </c>
      <c r="T50" s="33">
        <f>T19*T55*(1/Parameters!$J$15)+T28/100</f>
        <v>0.24184360536331265</v>
      </c>
      <c r="U50" s="33">
        <f>U19*U55*(1/Parameters!$J$15)+U28/100</f>
        <v>0.26597832056999438</v>
      </c>
      <c r="V50" s="33">
        <f>V19*V55*(1/Parameters!$J$15)+V28/100</f>
        <v>0.29251610026316532</v>
      </c>
      <c r="W50" s="33">
        <f>W19*W55*(1/Parameters!$J$15)+W28/100</f>
        <v>0.32169507152489207</v>
      </c>
      <c r="X50" s="33">
        <f>X19*X55*(1/Parameters!$J$15)+X28/100</f>
        <v>0.35377671849738446</v>
      </c>
      <c r="Y50" s="33">
        <f>Y19*Y55*(1/Parameters!$J$15)+Y28/100</f>
        <v>0.38904812306946923</v>
      </c>
      <c r="Z50" s="33">
        <f>Z19*Z55*(1/Parameters!$J$15)+Z28/100</f>
        <v>0.42782440989744508</v>
      </c>
      <c r="AA50" s="33">
        <f>AA19*AA55*(1/Parameters!$J$15)+AA28/100</f>
        <v>0.4704514121219604</v>
      </c>
      <c r="AB50" s="33">
        <f>AB19*AB55*(1/Parameters!$J$15)+AB28/100</f>
        <v>0.51730857494743709</v>
      </c>
      <c r="AC50" s="33">
        <f>AC19*AC55*(1/Parameters!$J$15)+AC28/100</f>
        <v>0.56881211496916184</v>
      </c>
      <c r="AD50" s="33">
        <f>AD19*AD55*(1/Parameters!$J$15)+AD28/100</f>
        <v>0.62541845372437532</v>
      </c>
      <c r="AE50" s="33">
        <f>AE19*AE55*(1/Parameters!$J$15)+AE28/100</f>
        <v>0.62541845372437532</v>
      </c>
      <c r="AF50" s="33">
        <f>AF19*AF55*(1/Parameters!$J$15)+AF28/100</f>
        <v>0.62541845372437532</v>
      </c>
      <c r="AG50" s="33">
        <f>AG19*AG55*(1/Parameters!$J$15)+AG28/100</f>
        <v>0.62541845372437532</v>
      </c>
      <c r="AH50" s="33">
        <f>AH19*AH55*(1/Parameters!$J$15)+AH28/100</f>
        <v>0.62541845372437532</v>
      </c>
      <c r="AI50" s="33">
        <f>AI19*AI55*(1/Parameters!$J$15)+AI28/100</f>
        <v>0.62541845372437532</v>
      </c>
      <c r="AJ50" s="33">
        <f>AJ19*AJ55*(1/Parameters!$J$15)+AJ28/100</f>
        <v>0.62541845372437532</v>
      </c>
      <c r="AK50" s="33">
        <f>AK19*AK55*(1/Parameters!$J$15)+AK28/100</f>
        <v>0.62541845372437532</v>
      </c>
      <c r="AL50" s="33">
        <f>AL19*AL55*(1/Parameters!$J$15)+AL28/100</f>
        <v>0.62541845372437532</v>
      </c>
      <c r="AM50" s="33"/>
      <c r="AO50" s="8">
        <f>ROW()</f>
        <v>50</v>
      </c>
    </row>
    <row r="51" spans="1:41" ht="13.9" customHeight="1" x14ac:dyDescent="0.2">
      <c r="B51" s="42" t="s">
        <v>556</v>
      </c>
      <c r="J51" s="33">
        <v>1.998</v>
      </c>
      <c r="K51" s="33">
        <v>2.165</v>
      </c>
      <c r="L51" s="33">
        <v>3.052</v>
      </c>
      <c r="M51" s="33">
        <v>1.704</v>
      </c>
      <c r="N51" s="33">
        <v>2.2010000000000001</v>
      </c>
      <c r="O51" s="33">
        <v>3.0255999999999998</v>
      </c>
      <c r="P51" s="33">
        <f>AVERAGE(J51:O51)*(1+$K$40)+P50</f>
        <v>2.5697410464705523</v>
      </c>
      <c r="Q51" s="33">
        <f t="shared" ref="Q51:AL51" si="3">(P51-P50)*(1+$K$40)+Q50</f>
        <v>2.6340381507741717</v>
      </c>
      <c r="R51" s="33">
        <f t="shared" si="3"/>
        <v>2.7009308194652859</v>
      </c>
      <c r="S51" s="33">
        <f t="shared" si="3"/>
        <v>2.7706014770658944</v>
      </c>
      <c r="T51" s="33">
        <f t="shared" si="3"/>
        <v>2.8432490643157706</v>
      </c>
      <c r="U51" s="33">
        <f t="shared" si="3"/>
        <v>2.9190906151273204</v>
      </c>
      <c r="V51" s="33">
        <f t="shared" si="3"/>
        <v>2.9983629813432593</v>
      </c>
      <c r="W51" s="33">
        <f t="shared" si="3"/>
        <v>3.0813247181367736</v>
      </c>
      <c r="X51" s="33">
        <f t="shared" si="3"/>
        <v>3.1682581437801463</v>
      </c>
      <c r="Y51" s="33">
        <f t="shared" si="3"/>
        <v>3.2594715884018628</v>
      </c>
      <c r="Z51" s="33">
        <f t="shared" si="3"/>
        <v>3.355301847238517</v>
      </c>
      <c r="AA51" s="33">
        <f t="shared" si="3"/>
        <v>3.456116854746341</v>
      </c>
      <c r="AB51" s="33">
        <f t="shared" si="3"/>
        <v>3.56231859674214</v>
      </c>
      <c r="AC51" s="33">
        <f t="shared" si="3"/>
        <v>3.6743462784620657</v>
      </c>
      <c r="AD51" s="33">
        <f t="shared" si="3"/>
        <v>3.7926797670179448</v>
      </c>
      <c r="AE51" s="33">
        <f t="shared" si="3"/>
        <v>3.8556338365116232</v>
      </c>
      <c r="AF51" s="33">
        <f t="shared" si="3"/>
        <v>3.9198392125675925</v>
      </c>
      <c r="AG51" s="33">
        <f t="shared" si="3"/>
        <v>3.9853207667807387</v>
      </c>
      <c r="AH51" s="33">
        <f t="shared" si="3"/>
        <v>4.0521038651062025</v>
      </c>
      <c r="AI51" s="33">
        <f t="shared" si="3"/>
        <v>4.1202143776855324</v>
      </c>
      <c r="AJ51" s="33">
        <f t="shared" si="3"/>
        <v>4.1896786888681454</v>
      </c>
      <c r="AK51" s="33">
        <f t="shared" si="3"/>
        <v>4.2605237074319797</v>
      </c>
      <c r="AL51" s="33">
        <f t="shared" si="3"/>
        <v>4.3327768770072979</v>
      </c>
      <c r="AO51" s="8">
        <f>ROW()</f>
        <v>51</v>
      </c>
    </row>
    <row r="52" spans="1:41" ht="13.9" customHeight="1" x14ac:dyDescent="0.2">
      <c r="B52" s="480" t="str">
        <f>CONCATENATE("Historical figures from Monthly Energy Review, except that 2011 figure is 5 months only, and 2012 is avg of 2006-2011. Figures exclude ostensible $0.244 for excise tax referenced in IRS 'Publication 510" &amp; "Contents (Rev. July 2011)', &lt;http://www.irs.gov/pub/irs-pdf/p510.pdf&gt;. Figures beyond 2012 apply assumed non-tax increase rate in diesel prices given in Cell K",AO40, " to untaxed portion of diesel price, which is calculated by subtracting previous year's tax in Row ",AO50, " from total price for that year in Row ",AO51, ".")</f>
        <v>Historical figures from Monthly Energy Review, except that 2011 figure is 5 months only, and 2012 is avg of 2006-2011. Figures exclude ostensible $0.244 for excise tax referenced in IRS 'Publication 510Contents (Rev. July 2011)', &lt;http://www.irs.gov/pub/irs-pdf/p510.pdf&gt;. Figures beyond 2012 apply assumed non-tax increase rate in diesel prices given in Cell K40 to untaxed portion of diesel price, which is calculated by subtracting previous year's tax in Row 50 from total price for that year in Row 51.</v>
      </c>
      <c r="C52" s="423"/>
      <c r="D52" s="423"/>
      <c r="E52" s="423"/>
      <c r="F52" s="423"/>
      <c r="G52" s="423"/>
      <c r="H52" s="423"/>
      <c r="I52" s="423"/>
      <c r="J52" s="423"/>
      <c r="K52" s="423"/>
      <c r="L52" s="423"/>
      <c r="M52" s="423"/>
      <c r="AO52" s="8">
        <f>ROW()</f>
        <v>52</v>
      </c>
    </row>
    <row r="53" spans="1:41" ht="13.9" customHeight="1" x14ac:dyDescent="0.2">
      <c r="B53" s="423"/>
      <c r="C53" s="423"/>
      <c r="D53" s="423"/>
      <c r="E53" s="423"/>
      <c r="F53" s="423"/>
      <c r="G53" s="423"/>
      <c r="H53" s="423"/>
      <c r="I53" s="423"/>
      <c r="J53" s="423"/>
      <c r="K53" s="423"/>
      <c r="L53" s="423"/>
      <c r="M53" s="423"/>
      <c r="AO53" s="8">
        <f>ROW()</f>
        <v>53</v>
      </c>
    </row>
    <row r="54" spans="1:41" ht="13.9" customHeight="1" x14ac:dyDescent="0.2">
      <c r="B54" s="423"/>
      <c r="C54" s="423"/>
      <c r="D54" s="423"/>
      <c r="E54" s="423"/>
      <c r="F54" s="423"/>
      <c r="G54" s="423"/>
      <c r="H54" s="423"/>
      <c r="I54" s="423"/>
      <c r="J54" s="423"/>
      <c r="K54" s="423"/>
      <c r="L54" s="423"/>
      <c r="M54" s="423"/>
      <c r="N54" s="69"/>
      <c r="O54" s="69"/>
      <c r="P54" s="69"/>
      <c r="Q54" s="69"/>
      <c r="R54" s="69"/>
      <c r="S54" s="69"/>
      <c r="T54" s="69"/>
      <c r="AO54" s="8">
        <f>ROW()</f>
        <v>54</v>
      </c>
    </row>
    <row r="55" spans="1:41" ht="13.9" customHeight="1" x14ac:dyDescent="0.2">
      <c r="B55" t="s">
        <v>207</v>
      </c>
      <c r="I55" s="22"/>
      <c r="J55" s="22"/>
      <c r="K55" s="22">
        <f>K25</f>
        <v>21.098238491092783</v>
      </c>
      <c r="L55" s="22"/>
      <c r="M55" s="204"/>
      <c r="N55" s="204"/>
      <c r="O55" s="204"/>
      <c r="P55" s="7">
        <f t="shared" ref="P55:AL55" si="4">$K$55*(1-$I$48)^(P18/$F$48)</f>
        <v>21.056042014110599</v>
      </c>
      <c r="Q55" s="7">
        <f t="shared" si="4"/>
        <v>21.051827010812463</v>
      </c>
      <c r="R55" s="7">
        <f t="shared" si="4"/>
        <v>21.047191481721185</v>
      </c>
      <c r="S55" s="7">
        <f t="shared" si="4"/>
        <v>21.042093578649709</v>
      </c>
      <c r="T55" s="7">
        <f t="shared" si="4"/>
        <v>21.03648731142853</v>
      </c>
      <c r="U55" s="7">
        <f t="shared" si="4"/>
        <v>21.030322142674585</v>
      </c>
      <c r="V55" s="7">
        <f t="shared" si="4"/>
        <v>21.023542543910729</v>
      </c>
      <c r="W55" s="7">
        <f t="shared" si="4"/>
        <v>21.016087509561228</v>
      </c>
      <c r="X55" s="7">
        <f t="shared" si="4"/>
        <v>21.007890025082212</v>
      </c>
      <c r="Y55" s="7">
        <f t="shared" si="4"/>
        <v>20.99887648520944</v>
      </c>
      <c r="Z55" s="7">
        <f t="shared" si="4"/>
        <v>20.988966058021834</v>
      </c>
      <c r="AA55" s="7">
        <f t="shared" si="4"/>
        <v>20.978069990230683</v>
      </c>
      <c r="AB55" s="7">
        <f t="shared" si="4"/>
        <v>20.966090848816229</v>
      </c>
      <c r="AC55" s="7">
        <f t="shared" si="4"/>
        <v>20.952921693851156</v>
      </c>
      <c r="AD55" s="7">
        <f t="shared" si="4"/>
        <v>20.938445177081729</v>
      </c>
      <c r="AE55" s="7">
        <f t="shared" si="4"/>
        <v>20.938445177081729</v>
      </c>
      <c r="AF55" s="7">
        <f t="shared" si="4"/>
        <v>20.938445177081729</v>
      </c>
      <c r="AG55" s="7">
        <f t="shared" si="4"/>
        <v>20.938445177081729</v>
      </c>
      <c r="AH55" s="7">
        <f t="shared" si="4"/>
        <v>20.938445177081729</v>
      </c>
      <c r="AI55" s="7">
        <f t="shared" si="4"/>
        <v>20.938445177081729</v>
      </c>
      <c r="AJ55" s="7">
        <f t="shared" si="4"/>
        <v>20.938445177081729</v>
      </c>
      <c r="AK55" s="7">
        <f t="shared" si="4"/>
        <v>20.938445177081729</v>
      </c>
      <c r="AL55" s="7">
        <f t="shared" si="4"/>
        <v>20.938445177081729</v>
      </c>
      <c r="AO55" s="8">
        <f>ROW()</f>
        <v>55</v>
      </c>
    </row>
    <row r="56" spans="1:41" ht="13.9" customHeight="1" x14ac:dyDescent="0.2">
      <c r="B56" s="110" t="str">
        <f>CONCATENATE("Figures reduce baseline emission factor by percentage calculated from Cell I",AO48, " normalized by Cell F",AO48, ".")</f>
        <v>Figures reduce baseline emission factor by percentage calculated from Cell I48 normalized by Cell F48.</v>
      </c>
      <c r="C56" s="9"/>
      <c r="D56" s="9"/>
      <c r="E56" s="9"/>
      <c r="F56" s="9"/>
      <c r="G56" s="9"/>
      <c r="K56" s="35"/>
      <c r="L56" s="35"/>
      <c r="M56" s="84"/>
      <c r="AO56" s="8">
        <f>ROW()</f>
        <v>56</v>
      </c>
    </row>
    <row r="57" spans="1:41" s="9" customFormat="1" ht="13.9" customHeight="1" x14ac:dyDescent="0.2">
      <c r="I57" s="26"/>
      <c r="J57" s="26"/>
      <c r="K57" s="14">
        <f t="shared" ref="K57:P57" si="5">K7</f>
        <v>2007</v>
      </c>
      <c r="L57" s="14">
        <f t="shared" si="5"/>
        <v>2008</v>
      </c>
      <c r="M57" s="14">
        <f t="shared" si="5"/>
        <v>2009</v>
      </c>
      <c r="N57" s="14">
        <f t="shared" si="5"/>
        <v>2010</v>
      </c>
      <c r="O57" s="14">
        <f t="shared" si="5"/>
        <v>2011</v>
      </c>
      <c r="P57" s="14">
        <f t="shared" si="5"/>
        <v>2012</v>
      </c>
      <c r="Q57" s="14">
        <f t="shared" ref="Q57:AL57" si="6">Q7</f>
        <v>2013</v>
      </c>
      <c r="R57" s="14">
        <f t="shared" si="6"/>
        <v>2014</v>
      </c>
      <c r="S57" s="14">
        <f t="shared" si="6"/>
        <v>2015</v>
      </c>
      <c r="T57" s="14">
        <f t="shared" si="6"/>
        <v>2016</v>
      </c>
      <c r="U57" s="14">
        <f t="shared" si="6"/>
        <v>2017</v>
      </c>
      <c r="V57" s="14">
        <f t="shared" si="6"/>
        <v>2018</v>
      </c>
      <c r="W57" s="14">
        <f t="shared" si="6"/>
        <v>2019</v>
      </c>
      <c r="X57" s="14">
        <f t="shared" si="6"/>
        <v>2020</v>
      </c>
      <c r="Y57" s="14">
        <f t="shared" si="6"/>
        <v>2021</v>
      </c>
      <c r="Z57" s="14">
        <f t="shared" si="6"/>
        <v>2022</v>
      </c>
      <c r="AA57" s="14">
        <f t="shared" si="6"/>
        <v>2023</v>
      </c>
      <c r="AB57" s="14">
        <f t="shared" si="6"/>
        <v>2024</v>
      </c>
      <c r="AC57" s="14">
        <f t="shared" si="6"/>
        <v>2025</v>
      </c>
      <c r="AD57" s="14">
        <f t="shared" si="6"/>
        <v>2026</v>
      </c>
      <c r="AE57" s="14">
        <f t="shared" si="6"/>
        <v>2027</v>
      </c>
      <c r="AF57" s="14">
        <f t="shared" si="6"/>
        <v>2028</v>
      </c>
      <c r="AG57" s="14">
        <f t="shared" si="6"/>
        <v>2029</v>
      </c>
      <c r="AH57" s="14">
        <f t="shared" si="6"/>
        <v>2030</v>
      </c>
      <c r="AI57" s="14">
        <f t="shared" si="6"/>
        <v>2031</v>
      </c>
      <c r="AJ57" s="14">
        <f t="shared" si="6"/>
        <v>2032</v>
      </c>
      <c r="AK57" s="14">
        <f t="shared" si="6"/>
        <v>2033</v>
      </c>
      <c r="AL57" s="14">
        <f t="shared" si="6"/>
        <v>2034</v>
      </c>
      <c r="AM57" s="27"/>
      <c r="AO57" s="8">
        <f>ROW()</f>
        <v>57</v>
      </c>
    </row>
    <row r="58" spans="1:41" s="9" customFormat="1" ht="13.9" customHeight="1" x14ac:dyDescent="0.2">
      <c r="B58" s="9" t="s">
        <v>557</v>
      </c>
      <c r="H58" s="26"/>
      <c r="I58" s="26"/>
      <c r="J58" s="26"/>
      <c r="M58" s="135"/>
      <c r="N58" s="457" t="str">
        <f>CONCATENATE("Initial row in this block is derived through a calculation on Row ",AO126, ". Remaining rows employ Rows ",AO17, ", ",AO18,",  ",AO31,", ",AO42, ", ",AO46, ", and ",AO55, ".")</f>
        <v>Initial row in this block is derived through a calculation on Row 126. Remaining rows employ Rows 17, 18,  31, 42, 46, and 55.</v>
      </c>
      <c r="O58" s="477"/>
      <c r="P58" s="27">
        <f t="shared" ref="P58:AL58" si="7">P126*P42</f>
        <v>-227.72908735877832</v>
      </c>
      <c r="Q58" s="27">
        <f t="shared" si="7"/>
        <v>-489.3352632002198</v>
      </c>
      <c r="R58" s="27">
        <f t="shared" si="7"/>
        <v>-784.94111127891392</v>
      </c>
      <c r="S58" s="27">
        <f t="shared" si="7"/>
        <v>-1114.5472121355563</v>
      </c>
      <c r="T58" s="27">
        <f t="shared" si="7"/>
        <v>-1478.0292447262846</v>
      </c>
      <c r="U58" s="27">
        <f t="shared" si="7"/>
        <v>-1875.1355449841119</v>
      </c>
      <c r="V58" s="27">
        <f t="shared" si="7"/>
        <v>-2305.4851432221085</v>
      </c>
      <c r="W58" s="27">
        <f t="shared" si="7"/>
        <v>-2768.5663044498497</v>
      </c>
      <c r="X58" s="27">
        <f t="shared" si="7"/>
        <v>-3263.7355985889958</v>
      </c>
      <c r="Y58" s="27">
        <f t="shared" si="7"/>
        <v>-3790.2175312240847</v>
      </c>
      <c r="Z58" s="27">
        <f t="shared" si="7"/>
        <v>-4142.806885748736</v>
      </c>
      <c r="AA58" s="27">
        <f t="shared" si="7"/>
        <v>-4501.4682628631363</v>
      </c>
      <c r="AB58" s="27">
        <f t="shared" si="7"/>
        <v>-4866.4294861026965</v>
      </c>
      <c r="AC58" s="27">
        <f t="shared" si="7"/>
        <v>-5237.1021087380414</v>
      </c>
      <c r="AD58" s="27">
        <f t="shared" si="7"/>
        <v>-5612.8820367361659</v>
      </c>
      <c r="AE58" s="27">
        <f t="shared" si="7"/>
        <v>-5993.1505322537032</v>
      </c>
      <c r="AF58" s="27">
        <f t="shared" si="7"/>
        <v>-6377.2751886353299</v>
      </c>
      <c r="AG58" s="27">
        <f t="shared" si="7"/>
        <v>-6764.6108653056726</v>
      </c>
      <c r="AH58" s="27">
        <f t="shared" si="7"/>
        <v>-7154.5005701499085</v>
      </c>
      <c r="AI58" s="27">
        <f t="shared" si="7"/>
        <v>-7546.2762761312106</v>
      </c>
      <c r="AJ58" s="27">
        <f t="shared" si="7"/>
        <v>-7939.2596579857563</v>
      </c>
      <c r="AK58" s="27">
        <f t="shared" si="7"/>
        <v>-8332.7627338633029</v>
      </c>
      <c r="AL58" s="27">
        <f t="shared" si="7"/>
        <v>-8726.0883957384158</v>
      </c>
      <c r="AO58" s="8">
        <f>ROW()</f>
        <v>58</v>
      </c>
    </row>
    <row r="59" spans="1:41" s="9" customFormat="1" ht="13.9" customHeight="1" x14ac:dyDescent="0.2">
      <c r="B59" s="9" t="s">
        <v>26</v>
      </c>
      <c r="M59" s="137"/>
      <c r="N59" s="478"/>
      <c r="O59" s="479"/>
      <c r="P59" s="27">
        <f>P42+P58</f>
        <v>22032.31673374385</v>
      </c>
      <c r="Q59" s="27">
        <f t="shared" ref="Q59:AL59" si="8">Q42+Q58</f>
        <v>21949.363838323668</v>
      </c>
      <c r="R59" s="27">
        <f t="shared" si="8"/>
        <v>21833.845094965691</v>
      </c>
      <c r="S59" s="27">
        <f t="shared" si="8"/>
        <v>21685.771430626402</v>
      </c>
      <c r="T59" s="27">
        <f t="shared" si="8"/>
        <v>21505.27876620301</v>
      </c>
      <c r="U59" s="27">
        <f t="shared" si="8"/>
        <v>21292.6304587132</v>
      </c>
      <c r="V59" s="27">
        <f t="shared" si="8"/>
        <v>21048.219264639174</v>
      </c>
      <c r="W59" s="27">
        <f t="shared" si="8"/>
        <v>20772.568800364337</v>
      </c>
      <c r="X59" s="27">
        <f t="shared" si="8"/>
        <v>20466.334472716953</v>
      </c>
      <c r="Y59" s="27">
        <f t="shared" si="8"/>
        <v>20130.303848984659</v>
      </c>
      <c r="Z59" s="27">
        <f t="shared" si="8"/>
        <v>19969.694315539702</v>
      </c>
      <c r="AA59" s="27">
        <f t="shared" si="8"/>
        <v>19804.553539119122</v>
      </c>
      <c r="AB59" s="27">
        <f t="shared" si="8"/>
        <v>19634.666062079948</v>
      </c>
      <c r="AC59" s="27">
        <f t="shared" si="8"/>
        <v>19460.632796289407</v>
      </c>
      <c r="AD59" s="27">
        <f t="shared" si="8"/>
        <v>19283.070400960278</v>
      </c>
      <c r="AE59" s="27">
        <f t="shared" si="8"/>
        <v>19102.610279960536</v>
      </c>
      <c r="AF59" s="27">
        <f t="shared" si="8"/>
        <v>18919.897607624287</v>
      </c>
      <c r="AG59" s="27">
        <f t="shared" si="8"/>
        <v>18735.590394675739</v>
      </c>
      <c r="AH59" s="27">
        <f t="shared" si="8"/>
        <v>18550.358606670976</v>
      </c>
      <c r="AI59" s="27">
        <f t="shared" si="8"/>
        <v>18364.883348209507</v>
      </c>
      <c r="AJ59" s="27">
        <f t="shared" si="8"/>
        <v>18179.856127074941</v>
      </c>
      <c r="AK59" s="27">
        <f t="shared" si="8"/>
        <v>17995.978213436738</v>
      </c>
      <c r="AL59" s="27">
        <f t="shared" si="8"/>
        <v>17813.960110288099</v>
      </c>
      <c r="AM59" s="27"/>
      <c r="AO59" s="8">
        <f>ROW()</f>
        <v>59</v>
      </c>
    </row>
    <row r="60" spans="1:41" s="104" customFormat="1" ht="13.9" customHeight="1" x14ac:dyDescent="0.2">
      <c r="A60" s="9"/>
      <c r="B60" s="104" t="s">
        <v>194</v>
      </c>
      <c r="M60" s="232"/>
      <c r="N60" s="478"/>
      <c r="O60" s="479"/>
      <c r="P60" s="27">
        <f>P59*P55/Parameters!$J$15</f>
        <v>210.39155864576077</v>
      </c>
      <c r="Q60" s="27">
        <f>Q59*Q55/Parameters!$J$15</f>
        <v>209.55746508923923</v>
      </c>
      <c r="R60" s="27">
        <f>R59*R55/Parameters!$J$15</f>
        <v>208.40867051971964</v>
      </c>
      <c r="S60" s="27">
        <f>S59*S55/Parameters!$J$15</f>
        <v>206.9451391240132</v>
      </c>
      <c r="T60" s="27">
        <f>T59*T55/Parameters!$J$15</f>
        <v>205.16803804714877</v>
      </c>
      <c r="U60" s="27">
        <f>U59*U55/Parameters!$J$15</f>
        <v>203.07976317989275</v>
      </c>
      <c r="V60" s="27">
        <f>V59*V55/Parameters!$J$15</f>
        <v>200.68396062752973</v>
      </c>
      <c r="W60" s="27">
        <f>W59*W55/Parameters!$J$15</f>
        <v>197.98554363121912</v>
      </c>
      <c r="X60" s="27">
        <f>X59*X55/Parameters!$J$15</f>
        <v>194.99070467999397</v>
      </c>
      <c r="Y60" s="27">
        <f>Y59*Y55/Parameters!$J$15</f>
        <v>191.70692251000682</v>
      </c>
      <c r="Z60" s="27">
        <f>Z59*Z55/Parameters!$J$15</f>
        <v>190.08763545484553</v>
      </c>
      <c r="AA60" s="27">
        <f>AA59*AA55/Parameters!$J$15</f>
        <v>188.41782778635451</v>
      </c>
      <c r="AB60" s="27">
        <f>AB59*AB55/Parameters!$J$15</f>
        <v>186.69487185657007</v>
      </c>
      <c r="AC60" s="27">
        <f>AC59*AC55/Parameters!$J$15</f>
        <v>184.92386172038258</v>
      </c>
      <c r="AD60" s="27">
        <f>AD59*AD55/Parameters!$J$15</f>
        <v>183.10998296431481</v>
      </c>
      <c r="AE60" s="27">
        <f>AE59*AE55/Parameters!$J$15</f>
        <v>181.39635287351996</v>
      </c>
      <c r="AF60" s="27">
        <f>AF59*AF55/Parameters!$J$15</f>
        <v>179.66133279512059</v>
      </c>
      <c r="AG60" s="27">
        <f>AG59*AG55/Parameters!$J$15</f>
        <v>177.91117112887846</v>
      </c>
      <c r="AH60" s="27">
        <f>AH59*AH55/Parameters!$J$15</f>
        <v>176.15222979636573</v>
      </c>
      <c r="AI60" s="27">
        <f>AI59*AI55/Parameters!$J$15</f>
        <v>174.39097649432466</v>
      </c>
      <c r="AJ60" s="27">
        <f>AJ59*AJ55/Parameters!$J$15</f>
        <v>172.63397770702588</v>
      </c>
      <c r="AK60" s="27">
        <f>AK59*AK55/Parameters!$J$15</f>
        <v>170.88789262131627</v>
      </c>
      <c r="AL60" s="27">
        <f>AL59*AL55/Parameters!$J$15</f>
        <v>169.15946809795381</v>
      </c>
      <c r="AO60" s="8">
        <f>ROW()</f>
        <v>60</v>
      </c>
    </row>
    <row r="61" spans="1:41" s="9" customFormat="1" ht="13.9" customHeight="1" x14ac:dyDescent="0.2">
      <c r="B61" s="9" t="s">
        <v>587</v>
      </c>
      <c r="H61" s="26"/>
      <c r="I61" s="26"/>
      <c r="J61" s="26"/>
      <c r="M61" s="179"/>
      <c r="N61" s="478"/>
      <c r="O61" s="479"/>
      <c r="P61" s="28">
        <f t="shared" ref="P61:AL61" si="9">P60-P46</f>
        <v>-2.6006207448407963</v>
      </c>
      <c r="Q61" s="28">
        <f t="shared" si="9"/>
        <v>-5.1441335836951794</v>
      </c>
      <c r="R61" s="28">
        <f t="shared" si="9"/>
        <v>-8.0160667856719385</v>
      </c>
      <c r="S61" s="28">
        <f t="shared" si="9"/>
        <v>-11.216566271860131</v>
      </c>
      <c r="T61" s="28">
        <f t="shared" si="9"/>
        <v>-14.744575888828336</v>
      </c>
      <c r="U61" s="28">
        <f t="shared" si="9"/>
        <v>-18.59781162819678</v>
      </c>
      <c r="V61" s="28">
        <f t="shared" si="9"/>
        <v>-22.772740165006354</v>
      </c>
      <c r="W61" s="28">
        <f t="shared" si="9"/>
        <v>-27.264561943568282</v>
      </c>
      <c r="X61" s="28">
        <f t="shared" si="9"/>
        <v>-32.067199072729863</v>
      </c>
      <c r="Y61" s="28">
        <f t="shared" si="9"/>
        <v>-37.173288333951433</v>
      </c>
      <c r="Z61" s="28">
        <f t="shared" si="9"/>
        <v>-40.629507838372035</v>
      </c>
      <c r="AA61" s="28">
        <f t="shared" si="9"/>
        <v>-44.150990693428923</v>
      </c>
      <c r="AB61" s="28">
        <f t="shared" si="9"/>
        <v>-47.740482868422731</v>
      </c>
      <c r="AC61" s="28">
        <f t="shared" si="9"/>
        <v>-51.393009579416002</v>
      </c>
      <c r="AD61" s="28">
        <f t="shared" si="9"/>
        <v>-55.103505468076236</v>
      </c>
      <c r="AE61" s="28">
        <f t="shared" si="9"/>
        <v>-58.728974442360453</v>
      </c>
      <c r="AF61" s="28">
        <f t="shared" si="9"/>
        <v>-62.391177320920178</v>
      </c>
      <c r="AG61" s="28">
        <f t="shared" si="9"/>
        <v>-66.083988850238313</v>
      </c>
      <c r="AH61" s="28">
        <f t="shared" si="9"/>
        <v>-69.801171243326706</v>
      </c>
      <c r="AI61" s="28">
        <f t="shared" si="9"/>
        <v>-73.536381934298703</v>
      </c>
      <c r="AJ61" s="28">
        <f t="shared" si="9"/>
        <v>-77.28318057400665</v>
      </c>
      <c r="AK61" s="28">
        <f t="shared" si="9"/>
        <v>-81.035035123053973</v>
      </c>
      <c r="AL61" s="28">
        <f t="shared" si="9"/>
        <v>-84.785326888585047</v>
      </c>
      <c r="AO61" s="8">
        <f>ROW()</f>
        <v>61</v>
      </c>
    </row>
    <row r="62" spans="1:41" s="9" customFormat="1" ht="13.9" customHeight="1" x14ac:dyDescent="0.2">
      <c r="B62" s="9" t="s">
        <v>588</v>
      </c>
      <c r="H62" s="26"/>
      <c r="I62" s="26"/>
      <c r="J62" s="26"/>
      <c r="M62" s="179"/>
      <c r="N62" s="478"/>
      <c r="O62" s="479"/>
      <c r="P62" s="28">
        <f>P60-$M$46</f>
        <v>3.9199931990769414</v>
      </c>
      <c r="Q62" s="28">
        <f t="shared" ref="Q62:AL62" si="10">Q60-$M$46</f>
        <v>3.0858996425554039</v>
      </c>
      <c r="R62" s="28">
        <f t="shared" si="10"/>
        <v>1.9371050730358093</v>
      </c>
      <c r="S62" s="28">
        <f t="shared" si="10"/>
        <v>0.4735736773293695</v>
      </c>
      <c r="T62" s="28">
        <f t="shared" si="10"/>
        <v>-1.3035273995350565</v>
      </c>
      <c r="U62" s="28">
        <f t="shared" si="10"/>
        <v>-3.3918022667910748</v>
      </c>
      <c r="V62" s="28">
        <f t="shared" si="10"/>
        <v>-5.7876048191540974</v>
      </c>
      <c r="W62" s="28">
        <f t="shared" si="10"/>
        <v>-8.48602181546471</v>
      </c>
      <c r="X62" s="28">
        <f t="shared" si="10"/>
        <v>-11.480860766689858</v>
      </c>
      <c r="Y62" s="28">
        <f t="shared" si="10"/>
        <v>-14.764642936677006</v>
      </c>
      <c r="Z62" s="28">
        <f t="shared" si="10"/>
        <v>-16.383929991838301</v>
      </c>
      <c r="AA62" s="28">
        <f t="shared" si="10"/>
        <v>-18.053737660329318</v>
      </c>
      <c r="AB62" s="28">
        <f t="shared" si="10"/>
        <v>-19.776693590113751</v>
      </c>
      <c r="AC62" s="28">
        <f t="shared" si="10"/>
        <v>-21.547703726301251</v>
      </c>
      <c r="AD62" s="28">
        <f t="shared" si="10"/>
        <v>-23.361582482369016</v>
      </c>
      <c r="AE62" s="28">
        <f t="shared" si="10"/>
        <v>-25.075212573163867</v>
      </c>
      <c r="AF62" s="28">
        <f t="shared" si="10"/>
        <v>-26.81023265156324</v>
      </c>
      <c r="AG62" s="28">
        <f t="shared" si="10"/>
        <v>-28.560394317805361</v>
      </c>
      <c r="AH62" s="28">
        <f t="shared" si="10"/>
        <v>-30.319335650318095</v>
      </c>
      <c r="AI62" s="28">
        <f t="shared" si="10"/>
        <v>-32.080588952359165</v>
      </c>
      <c r="AJ62" s="28">
        <f t="shared" si="10"/>
        <v>-33.837587739657948</v>
      </c>
      <c r="AK62" s="28">
        <f t="shared" si="10"/>
        <v>-35.583672825367557</v>
      </c>
      <c r="AL62" s="28">
        <f t="shared" si="10"/>
        <v>-37.31209734873002</v>
      </c>
      <c r="AO62" s="8">
        <f>ROW()</f>
        <v>62</v>
      </c>
    </row>
    <row r="63" spans="1:41" s="9" customFormat="1" ht="13.9" customHeight="1" x14ac:dyDescent="0.2">
      <c r="B63" s="9" t="s">
        <v>668</v>
      </c>
      <c r="H63" s="26"/>
      <c r="I63" s="26"/>
      <c r="J63" s="26"/>
      <c r="M63" s="179"/>
      <c r="N63" s="478"/>
      <c r="O63" s="479"/>
      <c r="P63" s="378">
        <f>ROUND(P60*P18,-2)/1000</f>
        <v>2.1</v>
      </c>
      <c r="Q63" s="378">
        <f t="shared" ref="Q63:AL63" si="11">ROUND(Q60*Q18,-2)/1000</f>
        <v>2.2999999999999998</v>
      </c>
      <c r="R63" s="378">
        <f t="shared" si="11"/>
        <v>2.5</v>
      </c>
      <c r="S63" s="378">
        <f t="shared" si="11"/>
        <v>2.8</v>
      </c>
      <c r="T63" s="378">
        <f t="shared" si="11"/>
        <v>3</v>
      </c>
      <c r="U63" s="378">
        <f t="shared" si="11"/>
        <v>3.3</v>
      </c>
      <c r="V63" s="378">
        <f t="shared" si="11"/>
        <v>3.6</v>
      </c>
      <c r="W63" s="378">
        <f t="shared" si="11"/>
        <v>3.9</v>
      </c>
      <c r="X63" s="378">
        <f t="shared" si="11"/>
        <v>4.2</v>
      </c>
      <c r="Y63" s="378">
        <f t="shared" si="11"/>
        <v>4.5</v>
      </c>
      <c r="Z63" s="378">
        <f t="shared" si="11"/>
        <v>4.9000000000000004</v>
      </c>
      <c r="AA63" s="378">
        <f t="shared" si="11"/>
        <v>5.4</v>
      </c>
      <c r="AB63" s="378">
        <f t="shared" si="11"/>
        <v>5.9</v>
      </c>
      <c r="AC63" s="378">
        <f t="shared" si="11"/>
        <v>6.4</v>
      </c>
      <c r="AD63" s="378">
        <f t="shared" si="11"/>
        <v>7</v>
      </c>
      <c r="AE63" s="378">
        <f t="shared" si="11"/>
        <v>6.9</v>
      </c>
      <c r="AF63" s="378">
        <f t="shared" si="11"/>
        <v>6.8</v>
      </c>
      <c r="AG63" s="378">
        <f t="shared" si="11"/>
        <v>6.8</v>
      </c>
      <c r="AH63" s="378">
        <f t="shared" si="11"/>
        <v>6.7</v>
      </c>
      <c r="AI63" s="378">
        <f t="shared" si="11"/>
        <v>6.6</v>
      </c>
      <c r="AJ63" s="378">
        <f t="shared" si="11"/>
        <v>6.6</v>
      </c>
      <c r="AK63" s="378">
        <f t="shared" si="11"/>
        <v>6.5</v>
      </c>
      <c r="AL63" s="378">
        <f t="shared" si="11"/>
        <v>6.4</v>
      </c>
      <c r="AM63" s="27"/>
      <c r="AO63" s="8">
        <f>ROW()</f>
        <v>63</v>
      </c>
    </row>
    <row r="64" spans="1:41" s="9" customFormat="1" ht="13.9" customHeight="1" x14ac:dyDescent="0.2">
      <c r="B64" s="9" t="s">
        <v>666</v>
      </c>
      <c r="H64" s="26"/>
      <c r="I64" s="26"/>
      <c r="J64" s="26"/>
      <c r="M64" s="179"/>
      <c r="N64" s="478"/>
      <c r="O64" s="479"/>
      <c r="P64" s="378">
        <f>ROUND(P59*$J$28*P17/100,-2)/1000</f>
        <v>1.3</v>
      </c>
      <c r="Q64" s="378">
        <f t="shared" ref="Q64:AL64" si="12">ROUND(Q59*$J$28*Q17/100,-2)/1000</f>
        <v>2.6</v>
      </c>
      <c r="R64" s="378">
        <f t="shared" si="12"/>
        <v>3.9</v>
      </c>
      <c r="S64" s="378">
        <f t="shared" si="12"/>
        <v>5.2</v>
      </c>
      <c r="T64" s="378">
        <f t="shared" si="12"/>
        <v>6.5</v>
      </c>
      <c r="U64" s="378">
        <f t="shared" si="12"/>
        <v>7.7</v>
      </c>
      <c r="V64" s="378">
        <f t="shared" si="12"/>
        <v>8.8000000000000007</v>
      </c>
      <c r="W64" s="378">
        <f t="shared" si="12"/>
        <v>10</v>
      </c>
      <c r="X64" s="378">
        <f t="shared" si="12"/>
        <v>11.1</v>
      </c>
      <c r="Y64" s="378">
        <f t="shared" si="12"/>
        <v>12.1</v>
      </c>
      <c r="Z64" s="378">
        <f t="shared" si="12"/>
        <v>13.2</v>
      </c>
      <c r="AA64" s="378">
        <f t="shared" si="12"/>
        <v>14.3</v>
      </c>
      <c r="AB64" s="378">
        <f t="shared" si="12"/>
        <v>15.3</v>
      </c>
      <c r="AC64" s="378">
        <f t="shared" si="12"/>
        <v>16.3</v>
      </c>
      <c r="AD64" s="378">
        <f t="shared" si="12"/>
        <v>17.399999999999999</v>
      </c>
      <c r="AE64" s="378">
        <f t="shared" si="12"/>
        <v>17.2</v>
      </c>
      <c r="AF64" s="378">
        <f t="shared" si="12"/>
        <v>17</v>
      </c>
      <c r="AG64" s="378">
        <f t="shared" si="12"/>
        <v>16.899999999999999</v>
      </c>
      <c r="AH64" s="378">
        <f t="shared" si="12"/>
        <v>16.7</v>
      </c>
      <c r="AI64" s="378">
        <f t="shared" si="12"/>
        <v>16.5</v>
      </c>
      <c r="AJ64" s="378">
        <f t="shared" si="12"/>
        <v>16.399999999999999</v>
      </c>
      <c r="AK64" s="378">
        <f t="shared" si="12"/>
        <v>16.2</v>
      </c>
      <c r="AL64" s="378">
        <f t="shared" si="12"/>
        <v>16</v>
      </c>
      <c r="AO64" s="8">
        <f>ROW()</f>
        <v>64</v>
      </c>
    </row>
    <row r="65" spans="1:41" s="9" customFormat="1" ht="13.9" customHeight="1" x14ac:dyDescent="0.2">
      <c r="B65" s="9" t="s">
        <v>667</v>
      </c>
      <c r="H65" s="26"/>
      <c r="I65" s="26"/>
      <c r="J65" s="26"/>
      <c r="M65" s="179"/>
      <c r="N65" s="461"/>
      <c r="O65" s="462"/>
      <c r="P65" s="378">
        <f>P63+P64</f>
        <v>3.4000000000000004</v>
      </c>
      <c r="Q65" s="378">
        <f t="shared" ref="Q65:AL65" si="13">Q63+Q64</f>
        <v>4.9000000000000004</v>
      </c>
      <c r="R65" s="378">
        <f t="shared" si="13"/>
        <v>6.4</v>
      </c>
      <c r="S65" s="378">
        <f t="shared" si="13"/>
        <v>8</v>
      </c>
      <c r="T65" s="378">
        <f t="shared" si="13"/>
        <v>9.5</v>
      </c>
      <c r="U65" s="378">
        <f t="shared" si="13"/>
        <v>11</v>
      </c>
      <c r="V65" s="378">
        <f t="shared" si="13"/>
        <v>12.4</v>
      </c>
      <c r="W65" s="378">
        <f t="shared" si="13"/>
        <v>13.9</v>
      </c>
      <c r="X65" s="378">
        <f t="shared" si="13"/>
        <v>15.3</v>
      </c>
      <c r="Y65" s="378">
        <f t="shared" si="13"/>
        <v>16.600000000000001</v>
      </c>
      <c r="Z65" s="378">
        <f t="shared" si="13"/>
        <v>18.100000000000001</v>
      </c>
      <c r="AA65" s="378">
        <f t="shared" si="13"/>
        <v>19.700000000000003</v>
      </c>
      <c r="AB65" s="378">
        <f t="shared" si="13"/>
        <v>21.200000000000003</v>
      </c>
      <c r="AC65" s="378">
        <f t="shared" si="13"/>
        <v>22.700000000000003</v>
      </c>
      <c r="AD65" s="378">
        <f t="shared" si="13"/>
        <v>24.4</v>
      </c>
      <c r="AE65" s="378">
        <f t="shared" si="13"/>
        <v>24.1</v>
      </c>
      <c r="AF65" s="378">
        <f t="shared" si="13"/>
        <v>23.8</v>
      </c>
      <c r="AG65" s="378">
        <f t="shared" si="13"/>
        <v>23.7</v>
      </c>
      <c r="AH65" s="378">
        <f t="shared" si="13"/>
        <v>23.4</v>
      </c>
      <c r="AI65" s="378">
        <f t="shared" si="13"/>
        <v>23.1</v>
      </c>
      <c r="AJ65" s="378">
        <f t="shared" si="13"/>
        <v>23</v>
      </c>
      <c r="AK65" s="378">
        <f t="shared" si="13"/>
        <v>22.7</v>
      </c>
      <c r="AL65" s="378">
        <f t="shared" si="13"/>
        <v>22.4</v>
      </c>
      <c r="AM65" s="27"/>
      <c r="AO65" s="8">
        <f>ROW()</f>
        <v>65</v>
      </c>
    </row>
    <row r="66" spans="1:41" s="9" customFormat="1" ht="13.9" customHeight="1" x14ac:dyDescent="0.2">
      <c r="A66"/>
      <c r="H66" s="26"/>
      <c r="I66" s="26"/>
      <c r="J66" s="26"/>
      <c r="M66" s="179"/>
      <c r="N66" s="179"/>
      <c r="O66" s="179"/>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O66" s="8">
        <f>ROW()</f>
        <v>66</v>
      </c>
    </row>
    <row r="67" spans="1:41" ht="13.9" customHeight="1" x14ac:dyDescent="0.2">
      <c r="B67" t="s">
        <v>27</v>
      </c>
      <c r="K67" s="16"/>
      <c r="L67" s="16"/>
      <c r="M67" s="84"/>
      <c r="P67" s="16">
        <f>P51/K51-1</f>
        <v>0.18694736557531288</v>
      </c>
      <c r="Q67" s="16">
        <f t="shared" ref="Q67:AL67" si="14">Q51/P51-1</f>
        <v>2.5020849626824937E-2</v>
      </c>
      <c r="R67" s="16">
        <f t="shared" si="14"/>
        <v>2.5395482093322652E-2</v>
      </c>
      <c r="S67" s="16">
        <f t="shared" si="14"/>
        <v>2.5795054467334211E-2</v>
      </c>
      <c r="T67" s="16">
        <f t="shared" si="14"/>
        <v>2.6220872200938494E-2</v>
      </c>
      <c r="U67" s="16">
        <f t="shared" si="14"/>
        <v>2.667425508493082E-2</v>
      </c>
      <c r="V67" s="16">
        <f t="shared" si="14"/>
        <v>2.7156528065670038E-2</v>
      </c>
      <c r="W67" s="16">
        <f t="shared" si="14"/>
        <v>2.7669010493301727E-2</v>
      </c>
      <c r="X67" s="16">
        <f t="shared" si="14"/>
        <v>2.8213003690159555E-2</v>
      </c>
      <c r="Y67" s="16">
        <f t="shared" si="14"/>
        <v>2.8789776742398576E-2</v>
      </c>
      <c r="Z67" s="16">
        <f t="shared" si="14"/>
        <v>2.9400550438189343E-2</v>
      </c>
      <c r="AA67" s="16">
        <f t="shared" si="14"/>
        <v>3.0046479302837437E-2</v>
      </c>
      <c r="AB67" s="16">
        <f t="shared" si="14"/>
        <v>3.0728631715663868E-2</v>
      </c>
      <c r="AC67" s="16">
        <f t="shared" si="14"/>
        <v>3.1447968135803084E-2</v>
      </c>
      <c r="AD67" s="16">
        <f t="shared" si="14"/>
        <v>3.2205317514441889E-2</v>
      </c>
      <c r="AE67" s="16">
        <f t="shared" si="14"/>
        <v>1.6598836010659701E-2</v>
      </c>
      <c r="AF67" s="16">
        <f t="shared" si="14"/>
        <v>1.6652353096387129E-2</v>
      </c>
      <c r="AG67" s="16">
        <f t="shared" si="14"/>
        <v>1.6705163314659099E-2</v>
      </c>
      <c r="AH67" s="16">
        <f t="shared" si="14"/>
        <v>1.6757270552003822E-2</v>
      </c>
      <c r="AI67" s="16">
        <f t="shared" si="14"/>
        <v>1.6808678860837922E-2</v>
      </c>
      <c r="AJ67" s="16">
        <f t="shared" si="14"/>
        <v>1.6859392452689193E-2</v>
      </c>
      <c r="AK67" s="16">
        <f t="shared" si="14"/>
        <v>1.6909415691486629E-2</v>
      </c>
      <c r="AL67" s="16">
        <f t="shared" si="14"/>
        <v>1.6958753086922407E-2</v>
      </c>
      <c r="AO67" s="8">
        <f>ROW()</f>
        <v>67</v>
      </c>
    </row>
    <row r="68" spans="1:41" ht="13.9" customHeight="1" x14ac:dyDescent="0.2">
      <c r="M68" s="84"/>
      <c r="AO68" s="8">
        <f>ROW()</f>
        <v>68</v>
      </c>
    </row>
    <row r="69" spans="1:41" ht="13.9" customHeight="1" x14ac:dyDescent="0.2">
      <c r="B69" s="66" t="s">
        <v>28</v>
      </c>
      <c r="H69" s="66">
        <f>-Parameters!F47</f>
        <v>0.60000000000000009</v>
      </c>
      <c r="I69" s="66"/>
      <c r="J69" s="66"/>
      <c r="M69" s="84"/>
      <c r="AO69" s="8">
        <f>ROW()</f>
        <v>69</v>
      </c>
    </row>
    <row r="70" spans="1:41" ht="13.9" customHeight="1" x14ac:dyDescent="0.2">
      <c r="B70" s="3" t="s">
        <v>32</v>
      </c>
      <c r="M70" s="84"/>
      <c r="AO70" s="8">
        <f>ROW()</f>
        <v>70</v>
      </c>
    </row>
    <row r="71" spans="1:41" ht="13.9" customHeight="1" x14ac:dyDescent="0.2">
      <c r="M71" s="84"/>
      <c r="AO71" s="8">
        <f>ROW()</f>
        <v>71</v>
      </c>
    </row>
    <row r="72" spans="1:41" ht="13.9" customHeight="1" x14ac:dyDescent="0.2">
      <c r="B72" s="3"/>
      <c r="H72" s="5"/>
      <c r="I72" s="5"/>
      <c r="J72" s="5"/>
      <c r="M72" s="84"/>
      <c r="AA72" s="6"/>
      <c r="AO72" s="8">
        <f>ROW()</f>
        <v>72</v>
      </c>
    </row>
    <row r="73" spans="1:41" ht="13.9" customHeight="1" x14ac:dyDescent="0.2">
      <c r="A73" s="74"/>
      <c r="B73" s="66" t="s">
        <v>197</v>
      </c>
      <c r="H73" s="65">
        <v>10</v>
      </c>
      <c r="I73" s="65"/>
      <c r="J73" s="65"/>
      <c r="M73" s="84"/>
      <c r="R73" s="448" t="s">
        <v>303</v>
      </c>
      <c r="S73" s="449"/>
      <c r="T73" s="449"/>
      <c r="U73" s="449"/>
      <c r="V73" s="449"/>
      <c r="W73" s="449"/>
      <c r="X73" s="449"/>
      <c r="Y73" s="449"/>
      <c r="Z73" s="449"/>
      <c r="AA73" s="449"/>
      <c r="AB73" s="449"/>
      <c r="AO73" s="8">
        <f>ROW()</f>
        <v>73</v>
      </c>
    </row>
    <row r="74" spans="1:41" ht="13.9" customHeight="1" x14ac:dyDescent="0.2">
      <c r="B74" s="3"/>
      <c r="M74" s="84"/>
      <c r="R74" s="449"/>
      <c r="S74" s="449"/>
      <c r="T74" s="449"/>
      <c r="U74" s="449"/>
      <c r="V74" s="449"/>
      <c r="W74" s="449"/>
      <c r="X74" s="449"/>
      <c r="Y74" s="449"/>
      <c r="Z74" s="449"/>
      <c r="AA74" s="449"/>
      <c r="AB74" s="449"/>
      <c r="AO74" s="8">
        <f>ROW()</f>
        <v>74</v>
      </c>
    </row>
    <row r="75" spans="1:41" ht="13.9" customHeight="1" x14ac:dyDescent="0.2">
      <c r="A75" s="6"/>
      <c r="M75" s="84"/>
      <c r="R75" s="449"/>
      <c r="S75" s="449"/>
      <c r="T75" s="449"/>
      <c r="U75" s="449"/>
      <c r="V75" s="449"/>
      <c r="W75" s="449"/>
      <c r="X75" s="449"/>
      <c r="Y75" s="449"/>
      <c r="Z75" s="449"/>
      <c r="AA75" s="449"/>
      <c r="AB75" s="449"/>
      <c r="AO75" s="8">
        <f>ROW()</f>
        <v>75</v>
      </c>
    </row>
    <row r="76" spans="1:41" s="74" customFormat="1" ht="13.9" customHeight="1" x14ac:dyDescent="0.2">
      <c r="A76" s="6"/>
      <c r="B76" s="74" t="s">
        <v>190</v>
      </c>
      <c r="H76" s="74">
        <f>P7</f>
        <v>2012</v>
      </c>
      <c r="M76" s="207"/>
      <c r="N76" s="207"/>
      <c r="O76" s="207"/>
      <c r="R76" s="449"/>
      <c r="S76" s="449"/>
      <c r="T76" s="449"/>
      <c r="U76" s="449"/>
      <c r="V76" s="449"/>
      <c r="W76" s="449"/>
      <c r="X76" s="449"/>
      <c r="Y76" s="449"/>
      <c r="Z76" s="449"/>
      <c r="AA76" s="449"/>
      <c r="AB76" s="449"/>
      <c r="AD76"/>
      <c r="AE76"/>
      <c r="AF76"/>
      <c r="AO76" s="8">
        <f>ROW()</f>
        <v>76</v>
      </c>
    </row>
    <row r="77" spans="1:41" ht="13.9" customHeight="1" x14ac:dyDescent="0.2">
      <c r="A77" s="6"/>
      <c r="M77" s="84"/>
      <c r="AO77" s="8">
        <f>ROW()</f>
        <v>77</v>
      </c>
    </row>
    <row r="78" spans="1:41" s="38" customFormat="1" ht="13.9" customHeight="1" x14ac:dyDescent="0.2">
      <c r="A78" s="6"/>
      <c r="B78" s="6" t="s">
        <v>232</v>
      </c>
      <c r="C78" s="6"/>
      <c r="D78" s="6"/>
      <c r="E78" s="6"/>
      <c r="F78" s="6"/>
      <c r="G78" s="6"/>
      <c r="H78">
        <f>H76</f>
        <v>2012</v>
      </c>
      <c r="I78"/>
      <c r="J78"/>
      <c r="M78" s="215"/>
      <c r="N78" s="215"/>
      <c r="O78" s="215"/>
      <c r="P78" s="6">
        <f>IF(P7&gt;=Summary!$J$98+$H$73,$H$69,((P7-$H$76+1)/$H$73)*$H$69)</f>
        <v>6.0000000000000012E-2</v>
      </c>
      <c r="Q78" s="6">
        <f>IF(Q7&gt;=Summary!$J$98+$H$73,$H$69,((Q7-$H$76+1)/$H$73)*$H$69)</f>
        <v>0.12000000000000002</v>
      </c>
      <c r="R78" s="6">
        <f>IF(R7&gt;=Summary!$J$98+$H$73,$H$69,((R7-$H$76+1)/$H$73)*$H$69)</f>
        <v>0.18000000000000002</v>
      </c>
      <c r="S78" s="6">
        <f>IF(S7&gt;=Summary!$J$98+$H$73,$H$69,((S7-$H$76+1)/$H$73)*$H$69)</f>
        <v>0.24000000000000005</v>
      </c>
      <c r="T78" s="6">
        <f>IF(T7&gt;=Summary!$J$98+$H$73,$H$69,((T7-$H$76+1)/$H$73)*$H$69)</f>
        <v>0.30000000000000004</v>
      </c>
      <c r="U78" s="6">
        <f>IF(U7&gt;=Summary!$J$98+$H$73,$H$69,((U7-$H$76+1)/$H$73)*$H$69)</f>
        <v>0.36000000000000004</v>
      </c>
      <c r="V78" s="6">
        <f>IF(V7&gt;=Summary!$J$98+$H$73,$H$69,((V7-$H$76+1)/$H$73)*$H$69)</f>
        <v>0.42000000000000004</v>
      </c>
      <c r="W78" s="6">
        <f>IF(W7&gt;=Summary!$J$98+$H$73,$H$69,((W7-$H$76+1)/$H$73)*$H$69)</f>
        <v>0.48000000000000009</v>
      </c>
      <c r="X78" s="6">
        <f>IF(X7&gt;=Summary!$J$98+$H$73,$H$69,((X7-$H$76+1)/$H$73)*$H$69)</f>
        <v>0.54000000000000015</v>
      </c>
      <c r="Y78" s="6">
        <f>IF(Y7&gt;=Summary!$J$98+$H$73,$H$69,((Y7-$H$76+1)/$H$73)*$H$69)</f>
        <v>0.60000000000000009</v>
      </c>
      <c r="Z78" s="6">
        <f>IF(Z7&gt;=Summary!$J$98+$H$73,$H$69,((Z7-$H$76+1)/$H$73)*$H$69)</f>
        <v>0.60000000000000009</v>
      </c>
      <c r="AA78" s="6">
        <f>IF(AA7&gt;=Summary!$J$98+$H$73,$H$69,((AA7-$H$76+1)/$H$73)*$H$69)</f>
        <v>0.60000000000000009</v>
      </c>
      <c r="AB78" s="6">
        <f>IF(AB7&gt;=Summary!$J$98+$H$73,$H$69,((AB7-$H$76+1)/$H$73)*$H$69)</f>
        <v>0.60000000000000009</v>
      </c>
      <c r="AC78" s="6">
        <f>IF(AC7&gt;=Summary!$J$98+$H$73,$H$69,((AC7-$H$76+1)/$H$73)*$H$69)</f>
        <v>0.60000000000000009</v>
      </c>
      <c r="AD78" s="6">
        <f>IF(AD7&gt;=Summary!$J$98+$H$73,$H$69,((AD7-$H$76+1)/$H$73)*$H$69)</f>
        <v>0.60000000000000009</v>
      </c>
      <c r="AE78" s="6">
        <f>IF(AE7&gt;=Summary!$J$98+$H$73,$H$69,((AE7-$H$76+1)/$H$73)*$H$69)</f>
        <v>0.60000000000000009</v>
      </c>
      <c r="AF78" s="6">
        <f>IF(AF7&gt;=Summary!$J$98+$H$73,$H$69,((AF7-$H$76+1)/$H$73)*$H$69)</f>
        <v>0.60000000000000009</v>
      </c>
      <c r="AG78" s="6">
        <f>IF(AG7&gt;=Summary!$J$98+$H$73,$H$69,((AG7-$H$76+1)/$H$73)*$H$69)</f>
        <v>0.60000000000000009</v>
      </c>
      <c r="AH78" s="6">
        <f>IF(AH7&gt;=Summary!$J$98+$H$73,$H$69,((AH7-$H$76+1)/$H$73)*$H$69)</f>
        <v>0.60000000000000009</v>
      </c>
      <c r="AI78" s="6">
        <f>IF(AI7&gt;=Summary!$J$98+$H$73,$H$69,((AI7-$H$76+1)/$H$73)*$H$69)</f>
        <v>0.60000000000000009</v>
      </c>
      <c r="AJ78" s="6">
        <f>IF(AJ7&gt;=Summary!$J$98+$H$73,$H$69,((AJ7-$H$76+1)/$H$73)*$H$69)</f>
        <v>0.60000000000000009</v>
      </c>
      <c r="AK78" s="6">
        <f>IF(AK7&gt;=Summary!$J$98+$H$73,$H$69,((AK7-$H$76+1)/$H$73)*$H$69)</f>
        <v>0.60000000000000009</v>
      </c>
      <c r="AL78" s="6">
        <f>IF(AL7&gt;=Summary!$J$98+$H$73,$H$69,((AL7-$H$76+1)/$H$73)*$H$69)</f>
        <v>0.60000000000000009</v>
      </c>
      <c r="AO78" s="8">
        <f>ROW()</f>
        <v>78</v>
      </c>
    </row>
    <row r="79" spans="1:41" s="38" customFormat="1" ht="13.9" customHeight="1" x14ac:dyDescent="0.2">
      <c r="A79" s="6"/>
      <c r="B79" s="6" t="s">
        <v>232</v>
      </c>
      <c r="G79"/>
      <c r="H79">
        <f>H78+1</f>
        <v>2013</v>
      </c>
      <c r="I79"/>
      <c r="J79"/>
      <c r="M79" s="215"/>
      <c r="N79" s="215"/>
      <c r="O79" s="215"/>
      <c r="P79" s="6"/>
      <c r="Q79" s="6">
        <f t="shared" ref="Q79:AF79" si="15">P78</f>
        <v>6.0000000000000012E-2</v>
      </c>
      <c r="R79" s="6">
        <f t="shared" si="15"/>
        <v>0.12000000000000002</v>
      </c>
      <c r="S79" s="6">
        <f t="shared" si="15"/>
        <v>0.18000000000000002</v>
      </c>
      <c r="T79" s="6">
        <f t="shared" si="15"/>
        <v>0.24000000000000005</v>
      </c>
      <c r="U79" s="6">
        <f t="shared" si="15"/>
        <v>0.30000000000000004</v>
      </c>
      <c r="V79" s="6">
        <f t="shared" si="15"/>
        <v>0.36000000000000004</v>
      </c>
      <c r="W79" s="6">
        <f t="shared" si="15"/>
        <v>0.42000000000000004</v>
      </c>
      <c r="X79" s="6">
        <f t="shared" si="15"/>
        <v>0.48000000000000009</v>
      </c>
      <c r="Y79" s="6">
        <f t="shared" si="15"/>
        <v>0.54000000000000015</v>
      </c>
      <c r="Z79" s="6">
        <f t="shared" si="15"/>
        <v>0.60000000000000009</v>
      </c>
      <c r="AA79" s="6">
        <f t="shared" si="15"/>
        <v>0.60000000000000009</v>
      </c>
      <c r="AB79" s="6">
        <f t="shared" si="15"/>
        <v>0.60000000000000009</v>
      </c>
      <c r="AC79" s="6">
        <f t="shared" si="15"/>
        <v>0.60000000000000009</v>
      </c>
      <c r="AD79" s="6">
        <f t="shared" si="15"/>
        <v>0.60000000000000009</v>
      </c>
      <c r="AE79" s="6">
        <f t="shared" si="15"/>
        <v>0.60000000000000009</v>
      </c>
      <c r="AF79" s="6">
        <f t="shared" si="15"/>
        <v>0.60000000000000009</v>
      </c>
      <c r="AG79" s="6">
        <f t="shared" ref="W79:AL94" si="16">AF78</f>
        <v>0.60000000000000009</v>
      </c>
      <c r="AH79" s="6">
        <f t="shared" si="16"/>
        <v>0.60000000000000009</v>
      </c>
      <c r="AI79" s="6">
        <f t="shared" si="16"/>
        <v>0.60000000000000009</v>
      </c>
      <c r="AJ79" s="6">
        <f t="shared" si="16"/>
        <v>0.60000000000000009</v>
      </c>
      <c r="AK79" s="6">
        <f t="shared" si="16"/>
        <v>0.60000000000000009</v>
      </c>
      <c r="AL79" s="6">
        <f t="shared" si="16"/>
        <v>0.60000000000000009</v>
      </c>
      <c r="AO79" s="8">
        <f>ROW()</f>
        <v>79</v>
      </c>
    </row>
    <row r="80" spans="1:41" s="38" customFormat="1" ht="13.9" customHeight="1" x14ac:dyDescent="0.2">
      <c r="A80" s="6"/>
      <c r="B80" s="6" t="s">
        <v>232</v>
      </c>
      <c r="G80"/>
      <c r="H80">
        <f t="shared" ref="H80:H100" si="17">H79+1</f>
        <v>2014</v>
      </c>
      <c r="I80"/>
      <c r="J80"/>
      <c r="M80" s="215"/>
      <c r="N80" s="215"/>
      <c r="O80" s="215"/>
      <c r="P80" s="6"/>
      <c r="Q80" s="6"/>
      <c r="R80" s="6">
        <f t="shared" ref="R80:AF80" si="18">Q79</f>
        <v>6.0000000000000012E-2</v>
      </c>
      <c r="S80" s="6">
        <f t="shared" si="18"/>
        <v>0.12000000000000002</v>
      </c>
      <c r="T80" s="6">
        <f t="shared" si="18"/>
        <v>0.18000000000000002</v>
      </c>
      <c r="U80" s="6">
        <f t="shared" si="18"/>
        <v>0.24000000000000005</v>
      </c>
      <c r="V80" s="6">
        <f t="shared" si="18"/>
        <v>0.30000000000000004</v>
      </c>
      <c r="W80" s="6">
        <f t="shared" si="18"/>
        <v>0.36000000000000004</v>
      </c>
      <c r="X80" s="6">
        <f t="shared" si="18"/>
        <v>0.42000000000000004</v>
      </c>
      <c r="Y80" s="6">
        <f t="shared" si="18"/>
        <v>0.48000000000000009</v>
      </c>
      <c r="Z80" s="6">
        <f t="shared" si="18"/>
        <v>0.54000000000000015</v>
      </c>
      <c r="AA80" s="6">
        <f t="shared" si="18"/>
        <v>0.60000000000000009</v>
      </c>
      <c r="AB80" s="6">
        <f t="shared" si="18"/>
        <v>0.60000000000000009</v>
      </c>
      <c r="AC80" s="6">
        <f t="shared" si="18"/>
        <v>0.60000000000000009</v>
      </c>
      <c r="AD80" s="6">
        <f t="shared" si="18"/>
        <v>0.60000000000000009</v>
      </c>
      <c r="AE80" s="6">
        <f t="shared" si="18"/>
        <v>0.60000000000000009</v>
      </c>
      <c r="AF80" s="6">
        <f t="shared" si="18"/>
        <v>0.60000000000000009</v>
      </c>
      <c r="AG80" s="6">
        <f t="shared" si="16"/>
        <v>0.60000000000000009</v>
      </c>
      <c r="AH80" s="6">
        <f t="shared" si="16"/>
        <v>0.60000000000000009</v>
      </c>
      <c r="AI80" s="6">
        <f t="shared" si="16"/>
        <v>0.60000000000000009</v>
      </c>
      <c r="AJ80" s="6">
        <f t="shared" si="16"/>
        <v>0.60000000000000009</v>
      </c>
      <c r="AK80" s="6">
        <f t="shared" si="16"/>
        <v>0.60000000000000009</v>
      </c>
      <c r="AL80" s="6">
        <f t="shared" si="16"/>
        <v>0.60000000000000009</v>
      </c>
      <c r="AO80" s="8">
        <f>ROW()</f>
        <v>80</v>
      </c>
    </row>
    <row r="81" spans="1:41" s="38" customFormat="1" ht="13.9" customHeight="1" x14ac:dyDescent="0.2">
      <c r="A81" s="6"/>
      <c r="B81" s="6" t="s">
        <v>232</v>
      </c>
      <c r="G81"/>
      <c r="H81">
        <f t="shared" si="17"/>
        <v>2015</v>
      </c>
      <c r="I81"/>
      <c r="J81"/>
      <c r="K81"/>
      <c r="L81"/>
      <c r="M81" s="215"/>
      <c r="N81" s="215"/>
      <c r="O81" s="215"/>
      <c r="P81" s="6"/>
      <c r="Q81" s="6"/>
      <c r="R81" s="6"/>
      <c r="S81" s="6">
        <f t="shared" ref="S81:AF81" si="19">R80</f>
        <v>6.0000000000000012E-2</v>
      </c>
      <c r="T81" s="6">
        <f t="shared" si="19"/>
        <v>0.12000000000000002</v>
      </c>
      <c r="U81" s="6">
        <f t="shared" si="19"/>
        <v>0.18000000000000002</v>
      </c>
      <c r="V81" s="6">
        <f t="shared" si="19"/>
        <v>0.24000000000000005</v>
      </c>
      <c r="W81" s="6">
        <f t="shared" si="19"/>
        <v>0.30000000000000004</v>
      </c>
      <c r="X81" s="6">
        <f t="shared" si="19"/>
        <v>0.36000000000000004</v>
      </c>
      <c r="Y81" s="6">
        <f t="shared" si="19"/>
        <v>0.42000000000000004</v>
      </c>
      <c r="Z81" s="6">
        <f t="shared" si="19"/>
        <v>0.48000000000000009</v>
      </c>
      <c r="AA81" s="6">
        <f t="shared" si="19"/>
        <v>0.54000000000000015</v>
      </c>
      <c r="AB81" s="6">
        <f t="shared" si="19"/>
        <v>0.60000000000000009</v>
      </c>
      <c r="AC81" s="6">
        <f t="shared" si="19"/>
        <v>0.60000000000000009</v>
      </c>
      <c r="AD81" s="6">
        <f t="shared" si="19"/>
        <v>0.60000000000000009</v>
      </c>
      <c r="AE81" s="6">
        <f t="shared" si="19"/>
        <v>0.60000000000000009</v>
      </c>
      <c r="AF81" s="6">
        <f t="shared" si="19"/>
        <v>0.60000000000000009</v>
      </c>
      <c r="AG81" s="6">
        <f t="shared" si="16"/>
        <v>0.60000000000000009</v>
      </c>
      <c r="AH81" s="6">
        <f t="shared" si="16"/>
        <v>0.60000000000000009</v>
      </c>
      <c r="AI81" s="6">
        <f t="shared" si="16"/>
        <v>0.60000000000000009</v>
      </c>
      <c r="AJ81" s="6">
        <f t="shared" si="16"/>
        <v>0.60000000000000009</v>
      </c>
      <c r="AK81" s="6">
        <f t="shared" si="16"/>
        <v>0.60000000000000009</v>
      </c>
      <c r="AL81" s="6">
        <f t="shared" si="16"/>
        <v>0.60000000000000009</v>
      </c>
      <c r="AO81" s="8">
        <f>ROW()</f>
        <v>81</v>
      </c>
    </row>
    <row r="82" spans="1:41" s="38" customFormat="1" ht="13.9" customHeight="1" x14ac:dyDescent="0.2">
      <c r="A82" s="6"/>
      <c r="B82" s="6" t="s">
        <v>232</v>
      </c>
      <c r="G82"/>
      <c r="H82">
        <f t="shared" si="17"/>
        <v>2016</v>
      </c>
      <c r="I82"/>
      <c r="J82"/>
      <c r="K82"/>
      <c r="L82"/>
      <c r="M82" s="215"/>
      <c r="N82" s="215"/>
      <c r="O82" s="215"/>
      <c r="P82" s="6"/>
      <c r="Q82" s="6"/>
      <c r="R82" s="6"/>
      <c r="S82" s="6"/>
      <c r="T82" s="6">
        <f t="shared" ref="T82:AF82" si="20">S81</f>
        <v>6.0000000000000012E-2</v>
      </c>
      <c r="U82" s="6">
        <f t="shared" si="20"/>
        <v>0.12000000000000002</v>
      </c>
      <c r="V82" s="6">
        <f t="shared" si="20"/>
        <v>0.18000000000000002</v>
      </c>
      <c r="W82" s="6">
        <f t="shared" si="20"/>
        <v>0.24000000000000005</v>
      </c>
      <c r="X82" s="6">
        <f t="shared" si="20"/>
        <v>0.30000000000000004</v>
      </c>
      <c r="Y82" s="6">
        <f t="shared" si="20"/>
        <v>0.36000000000000004</v>
      </c>
      <c r="Z82" s="6">
        <f t="shared" si="20"/>
        <v>0.42000000000000004</v>
      </c>
      <c r="AA82" s="6">
        <f t="shared" si="20"/>
        <v>0.48000000000000009</v>
      </c>
      <c r="AB82" s="6">
        <f t="shared" si="20"/>
        <v>0.54000000000000015</v>
      </c>
      <c r="AC82" s="6">
        <f t="shared" si="20"/>
        <v>0.60000000000000009</v>
      </c>
      <c r="AD82" s="6">
        <f t="shared" si="20"/>
        <v>0.60000000000000009</v>
      </c>
      <c r="AE82" s="6">
        <f t="shared" si="20"/>
        <v>0.60000000000000009</v>
      </c>
      <c r="AF82" s="6">
        <f t="shared" si="20"/>
        <v>0.60000000000000009</v>
      </c>
      <c r="AG82" s="6">
        <f t="shared" si="16"/>
        <v>0.60000000000000009</v>
      </c>
      <c r="AH82" s="6">
        <f t="shared" si="16"/>
        <v>0.60000000000000009</v>
      </c>
      <c r="AI82" s="6">
        <f t="shared" si="16"/>
        <v>0.60000000000000009</v>
      </c>
      <c r="AJ82" s="6">
        <f t="shared" si="16"/>
        <v>0.60000000000000009</v>
      </c>
      <c r="AK82" s="6">
        <f t="shared" si="16"/>
        <v>0.60000000000000009</v>
      </c>
      <c r="AL82" s="6">
        <f t="shared" si="16"/>
        <v>0.60000000000000009</v>
      </c>
      <c r="AO82" s="8">
        <f>ROW()</f>
        <v>82</v>
      </c>
    </row>
    <row r="83" spans="1:41" s="38" customFormat="1" ht="13.9" customHeight="1" x14ac:dyDescent="0.2">
      <c r="A83" s="6"/>
      <c r="B83" s="6" t="s">
        <v>232</v>
      </c>
      <c r="G83"/>
      <c r="H83">
        <f t="shared" si="17"/>
        <v>2017</v>
      </c>
      <c r="I83"/>
      <c r="J83"/>
      <c r="K83"/>
      <c r="L83"/>
      <c r="M83" s="215"/>
      <c r="N83" s="215"/>
      <c r="O83" s="215"/>
      <c r="P83" s="6"/>
      <c r="Q83" s="6"/>
      <c r="R83" s="6"/>
      <c r="S83" s="6"/>
      <c r="T83" s="6"/>
      <c r="U83" s="6">
        <f t="shared" ref="U83:AF83" si="21">T82</f>
        <v>6.0000000000000012E-2</v>
      </c>
      <c r="V83" s="6">
        <f t="shared" si="21"/>
        <v>0.12000000000000002</v>
      </c>
      <c r="W83" s="6">
        <f t="shared" si="21"/>
        <v>0.18000000000000002</v>
      </c>
      <c r="X83" s="6">
        <f t="shared" si="21"/>
        <v>0.24000000000000005</v>
      </c>
      <c r="Y83" s="6">
        <f t="shared" si="21"/>
        <v>0.30000000000000004</v>
      </c>
      <c r="Z83" s="6">
        <f t="shared" si="21"/>
        <v>0.36000000000000004</v>
      </c>
      <c r="AA83" s="6">
        <f t="shared" si="21"/>
        <v>0.42000000000000004</v>
      </c>
      <c r="AB83" s="6">
        <f t="shared" si="21"/>
        <v>0.48000000000000009</v>
      </c>
      <c r="AC83" s="6">
        <f t="shared" si="21"/>
        <v>0.54000000000000015</v>
      </c>
      <c r="AD83" s="6">
        <f t="shared" si="21"/>
        <v>0.60000000000000009</v>
      </c>
      <c r="AE83" s="6">
        <f t="shared" si="21"/>
        <v>0.60000000000000009</v>
      </c>
      <c r="AF83" s="6">
        <f t="shared" si="21"/>
        <v>0.60000000000000009</v>
      </c>
      <c r="AG83" s="6">
        <f t="shared" si="16"/>
        <v>0.60000000000000009</v>
      </c>
      <c r="AH83" s="6">
        <f t="shared" si="16"/>
        <v>0.60000000000000009</v>
      </c>
      <c r="AI83" s="6">
        <f t="shared" si="16"/>
        <v>0.60000000000000009</v>
      </c>
      <c r="AJ83" s="6">
        <f t="shared" si="16"/>
        <v>0.60000000000000009</v>
      </c>
      <c r="AK83" s="6">
        <f t="shared" si="16"/>
        <v>0.60000000000000009</v>
      </c>
      <c r="AL83" s="6">
        <f t="shared" si="16"/>
        <v>0.60000000000000009</v>
      </c>
      <c r="AO83" s="8">
        <f>ROW()</f>
        <v>83</v>
      </c>
    </row>
    <row r="84" spans="1:41" s="38" customFormat="1" ht="13.9" customHeight="1" x14ac:dyDescent="0.2">
      <c r="A84" s="6"/>
      <c r="B84" s="6" t="s">
        <v>232</v>
      </c>
      <c r="G84"/>
      <c r="H84">
        <f t="shared" si="17"/>
        <v>2018</v>
      </c>
      <c r="I84"/>
      <c r="J84"/>
      <c r="K84"/>
      <c r="L84"/>
      <c r="M84" s="215"/>
      <c r="N84" s="215"/>
      <c r="O84" s="215"/>
      <c r="P84" s="6"/>
      <c r="Q84" s="6"/>
      <c r="R84" s="6"/>
      <c r="S84" s="6"/>
      <c r="T84" s="6"/>
      <c r="U84" s="6"/>
      <c r="V84" s="6">
        <f>U83</f>
        <v>6.0000000000000012E-2</v>
      </c>
      <c r="W84" s="6">
        <f t="shared" si="16"/>
        <v>0.12000000000000002</v>
      </c>
      <c r="X84" s="6">
        <f t="shared" si="16"/>
        <v>0.18000000000000002</v>
      </c>
      <c r="Y84" s="6">
        <f t="shared" si="16"/>
        <v>0.24000000000000005</v>
      </c>
      <c r="Z84" s="6">
        <f t="shared" si="16"/>
        <v>0.30000000000000004</v>
      </c>
      <c r="AA84" s="6">
        <f t="shared" si="16"/>
        <v>0.36000000000000004</v>
      </c>
      <c r="AB84" s="6">
        <f t="shared" si="16"/>
        <v>0.42000000000000004</v>
      </c>
      <c r="AC84" s="6">
        <f t="shared" si="16"/>
        <v>0.48000000000000009</v>
      </c>
      <c r="AD84" s="6">
        <f t="shared" si="16"/>
        <v>0.54000000000000015</v>
      </c>
      <c r="AE84" s="6">
        <f t="shared" si="16"/>
        <v>0.60000000000000009</v>
      </c>
      <c r="AF84" s="6">
        <f t="shared" si="16"/>
        <v>0.60000000000000009</v>
      </c>
      <c r="AG84" s="6">
        <f t="shared" si="16"/>
        <v>0.60000000000000009</v>
      </c>
      <c r="AH84" s="6">
        <f t="shared" si="16"/>
        <v>0.60000000000000009</v>
      </c>
      <c r="AI84" s="6">
        <f t="shared" si="16"/>
        <v>0.60000000000000009</v>
      </c>
      <c r="AJ84" s="6">
        <f t="shared" si="16"/>
        <v>0.60000000000000009</v>
      </c>
      <c r="AK84" s="6">
        <f t="shared" si="16"/>
        <v>0.60000000000000009</v>
      </c>
      <c r="AL84" s="6">
        <f t="shared" si="16"/>
        <v>0.60000000000000009</v>
      </c>
      <c r="AO84" s="8">
        <f>ROW()</f>
        <v>84</v>
      </c>
    </row>
    <row r="85" spans="1:41" s="38" customFormat="1" ht="13.9" customHeight="1" x14ac:dyDescent="0.2">
      <c r="A85" s="6"/>
      <c r="B85" s="6" t="s">
        <v>232</v>
      </c>
      <c r="G85"/>
      <c r="H85">
        <f t="shared" si="17"/>
        <v>2019</v>
      </c>
      <c r="I85"/>
      <c r="J85"/>
      <c r="K85"/>
      <c r="L85"/>
      <c r="M85" s="215"/>
      <c r="N85" s="215"/>
      <c r="O85" s="215"/>
      <c r="P85" s="6"/>
      <c r="Q85" s="6"/>
      <c r="R85" s="6"/>
      <c r="S85" s="6"/>
      <c r="T85" s="6"/>
      <c r="U85" s="6"/>
      <c r="V85" s="6"/>
      <c r="W85" s="6">
        <f>V84</f>
        <v>6.0000000000000012E-2</v>
      </c>
      <c r="X85" s="6">
        <f t="shared" si="16"/>
        <v>0.12000000000000002</v>
      </c>
      <c r="Y85" s="6">
        <f t="shared" si="16"/>
        <v>0.18000000000000002</v>
      </c>
      <c r="Z85" s="6">
        <f t="shared" si="16"/>
        <v>0.24000000000000005</v>
      </c>
      <c r="AA85" s="6">
        <f t="shared" si="16"/>
        <v>0.30000000000000004</v>
      </c>
      <c r="AB85" s="6">
        <f t="shared" si="16"/>
        <v>0.36000000000000004</v>
      </c>
      <c r="AC85" s="6">
        <f t="shared" si="16"/>
        <v>0.42000000000000004</v>
      </c>
      <c r="AD85" s="6">
        <f t="shared" si="16"/>
        <v>0.48000000000000009</v>
      </c>
      <c r="AE85" s="6">
        <f t="shared" si="16"/>
        <v>0.54000000000000015</v>
      </c>
      <c r="AF85" s="6">
        <f t="shared" si="16"/>
        <v>0.60000000000000009</v>
      </c>
      <c r="AG85" s="6">
        <f t="shared" si="16"/>
        <v>0.60000000000000009</v>
      </c>
      <c r="AH85" s="6">
        <f t="shared" si="16"/>
        <v>0.60000000000000009</v>
      </c>
      <c r="AI85" s="6">
        <f t="shared" si="16"/>
        <v>0.60000000000000009</v>
      </c>
      <c r="AJ85" s="6">
        <f t="shared" si="16"/>
        <v>0.60000000000000009</v>
      </c>
      <c r="AK85" s="6">
        <f t="shared" si="16"/>
        <v>0.60000000000000009</v>
      </c>
      <c r="AL85" s="6">
        <f t="shared" si="16"/>
        <v>0.60000000000000009</v>
      </c>
      <c r="AO85" s="8">
        <f>ROW()</f>
        <v>85</v>
      </c>
    </row>
    <row r="86" spans="1:41" s="38" customFormat="1" ht="13.9" customHeight="1" x14ac:dyDescent="0.2">
      <c r="A86" s="6"/>
      <c r="B86" s="6" t="s">
        <v>232</v>
      </c>
      <c r="G86"/>
      <c r="H86">
        <f t="shared" si="17"/>
        <v>2020</v>
      </c>
      <c r="I86"/>
      <c r="J86"/>
      <c r="K86"/>
      <c r="L86"/>
      <c r="M86" s="215"/>
      <c r="N86" s="215"/>
      <c r="O86" s="215"/>
      <c r="P86" s="6"/>
      <c r="Q86" s="6"/>
      <c r="R86" s="6"/>
      <c r="S86" s="6"/>
      <c r="T86" s="29"/>
      <c r="U86" s="6"/>
      <c r="V86" s="6"/>
      <c r="W86" s="6"/>
      <c r="X86" s="6">
        <f>W85</f>
        <v>6.0000000000000012E-2</v>
      </c>
      <c r="Y86" s="6">
        <f t="shared" si="16"/>
        <v>0.12000000000000002</v>
      </c>
      <c r="Z86" s="6">
        <f t="shared" si="16"/>
        <v>0.18000000000000002</v>
      </c>
      <c r="AA86" s="6">
        <f t="shared" si="16"/>
        <v>0.24000000000000005</v>
      </c>
      <c r="AB86" s="6">
        <f t="shared" si="16"/>
        <v>0.30000000000000004</v>
      </c>
      <c r="AC86" s="6">
        <f t="shared" si="16"/>
        <v>0.36000000000000004</v>
      </c>
      <c r="AD86" s="6">
        <f t="shared" si="16"/>
        <v>0.42000000000000004</v>
      </c>
      <c r="AE86" s="6">
        <f t="shared" si="16"/>
        <v>0.48000000000000009</v>
      </c>
      <c r="AF86" s="6">
        <f t="shared" si="16"/>
        <v>0.54000000000000015</v>
      </c>
      <c r="AG86" s="6">
        <f t="shared" si="16"/>
        <v>0.60000000000000009</v>
      </c>
      <c r="AH86" s="6">
        <f t="shared" si="16"/>
        <v>0.60000000000000009</v>
      </c>
      <c r="AI86" s="6">
        <f t="shared" si="16"/>
        <v>0.60000000000000009</v>
      </c>
      <c r="AJ86" s="6">
        <f t="shared" si="16"/>
        <v>0.60000000000000009</v>
      </c>
      <c r="AK86" s="6">
        <f t="shared" si="16"/>
        <v>0.60000000000000009</v>
      </c>
      <c r="AL86" s="6">
        <f t="shared" si="16"/>
        <v>0.60000000000000009</v>
      </c>
      <c r="AO86" s="8">
        <f>ROW()</f>
        <v>86</v>
      </c>
    </row>
    <row r="87" spans="1:41" s="38" customFormat="1" ht="13.9" customHeight="1" x14ac:dyDescent="0.2">
      <c r="A87" s="6"/>
      <c r="B87" s="6" t="s">
        <v>232</v>
      </c>
      <c r="G87"/>
      <c r="H87">
        <f t="shared" si="17"/>
        <v>2021</v>
      </c>
      <c r="I87"/>
      <c r="J87"/>
      <c r="K87"/>
      <c r="L87"/>
      <c r="M87" s="215"/>
      <c r="N87" s="215"/>
      <c r="O87" s="215"/>
      <c r="P87" s="6"/>
      <c r="Q87" s="6"/>
      <c r="R87" s="6"/>
      <c r="S87" s="6"/>
      <c r="T87" s="29"/>
      <c r="U87" s="6"/>
      <c r="V87" s="6"/>
      <c r="W87" s="6"/>
      <c r="X87" s="6"/>
      <c r="Y87" s="6">
        <f>X86</f>
        <v>6.0000000000000012E-2</v>
      </c>
      <c r="Z87" s="6">
        <f t="shared" si="16"/>
        <v>0.12000000000000002</v>
      </c>
      <c r="AA87" s="6">
        <f t="shared" si="16"/>
        <v>0.18000000000000002</v>
      </c>
      <c r="AB87" s="6">
        <f t="shared" si="16"/>
        <v>0.24000000000000005</v>
      </c>
      <c r="AC87" s="6">
        <f t="shared" si="16"/>
        <v>0.30000000000000004</v>
      </c>
      <c r="AD87" s="6">
        <f t="shared" si="16"/>
        <v>0.36000000000000004</v>
      </c>
      <c r="AE87" s="6">
        <f t="shared" si="16"/>
        <v>0.42000000000000004</v>
      </c>
      <c r="AF87" s="6">
        <f t="shared" si="16"/>
        <v>0.48000000000000009</v>
      </c>
      <c r="AG87" s="6">
        <f t="shared" si="16"/>
        <v>0.54000000000000015</v>
      </c>
      <c r="AH87" s="6">
        <f t="shared" si="16"/>
        <v>0.60000000000000009</v>
      </c>
      <c r="AI87" s="6">
        <f t="shared" si="16"/>
        <v>0.60000000000000009</v>
      </c>
      <c r="AJ87" s="6">
        <f t="shared" si="16"/>
        <v>0.60000000000000009</v>
      </c>
      <c r="AK87" s="6">
        <f t="shared" si="16"/>
        <v>0.60000000000000009</v>
      </c>
      <c r="AL87" s="6">
        <f t="shared" si="16"/>
        <v>0.60000000000000009</v>
      </c>
      <c r="AO87" s="8">
        <f>ROW()</f>
        <v>87</v>
      </c>
    </row>
    <row r="88" spans="1:41" s="38" customFormat="1" ht="13.9" customHeight="1" x14ac:dyDescent="0.2">
      <c r="A88" s="6"/>
      <c r="B88" s="6" t="s">
        <v>232</v>
      </c>
      <c r="G88"/>
      <c r="H88">
        <f t="shared" si="17"/>
        <v>2022</v>
      </c>
      <c r="I88"/>
      <c r="J88"/>
      <c r="K88"/>
      <c r="L88"/>
      <c r="M88" s="215"/>
      <c r="N88" s="215"/>
      <c r="O88" s="215"/>
      <c r="P88" s="6"/>
      <c r="Q88" s="6"/>
      <c r="R88" s="6"/>
      <c r="S88" s="6"/>
      <c r="T88" s="29"/>
      <c r="U88" s="6"/>
      <c r="V88" s="6"/>
      <c r="W88" s="6"/>
      <c r="X88" s="6"/>
      <c r="Y88" s="6"/>
      <c r="Z88" s="6">
        <f>Y87</f>
        <v>6.0000000000000012E-2</v>
      </c>
      <c r="AA88" s="6">
        <f t="shared" si="16"/>
        <v>0.12000000000000002</v>
      </c>
      <c r="AB88" s="6">
        <f t="shared" si="16"/>
        <v>0.18000000000000002</v>
      </c>
      <c r="AC88" s="6">
        <f t="shared" si="16"/>
        <v>0.24000000000000005</v>
      </c>
      <c r="AD88" s="6">
        <f t="shared" si="16"/>
        <v>0.30000000000000004</v>
      </c>
      <c r="AE88" s="6">
        <f t="shared" si="16"/>
        <v>0.36000000000000004</v>
      </c>
      <c r="AF88" s="6">
        <f t="shared" si="16"/>
        <v>0.42000000000000004</v>
      </c>
      <c r="AG88" s="6">
        <f t="shared" si="16"/>
        <v>0.48000000000000009</v>
      </c>
      <c r="AH88" s="6">
        <f t="shared" si="16"/>
        <v>0.54000000000000015</v>
      </c>
      <c r="AI88" s="6">
        <f t="shared" si="16"/>
        <v>0.60000000000000009</v>
      </c>
      <c r="AJ88" s="6">
        <f t="shared" si="16"/>
        <v>0.60000000000000009</v>
      </c>
      <c r="AK88" s="6">
        <f t="shared" si="16"/>
        <v>0.60000000000000009</v>
      </c>
      <c r="AL88" s="6">
        <f t="shared" si="16"/>
        <v>0.60000000000000009</v>
      </c>
      <c r="AO88" s="8">
        <f>ROW()</f>
        <v>88</v>
      </c>
    </row>
    <row r="89" spans="1:41" s="38" customFormat="1" ht="13.9" customHeight="1" x14ac:dyDescent="0.2">
      <c r="A89" s="6"/>
      <c r="B89" s="6" t="s">
        <v>232</v>
      </c>
      <c r="G89"/>
      <c r="H89">
        <f t="shared" si="17"/>
        <v>2023</v>
      </c>
      <c r="I89"/>
      <c r="J89"/>
      <c r="K89"/>
      <c r="L89"/>
      <c r="M89" s="215"/>
      <c r="N89" s="215"/>
      <c r="O89" s="215"/>
      <c r="P89" s="6"/>
      <c r="Q89" s="6"/>
      <c r="R89" s="6"/>
      <c r="S89" s="6"/>
      <c r="T89" s="29"/>
      <c r="U89" s="6"/>
      <c r="V89" s="6"/>
      <c r="W89" s="6"/>
      <c r="X89" s="6"/>
      <c r="Y89" s="6"/>
      <c r="Z89" s="6"/>
      <c r="AA89" s="6">
        <f>Z88</f>
        <v>6.0000000000000012E-2</v>
      </c>
      <c r="AB89" s="6">
        <f t="shared" si="16"/>
        <v>0.12000000000000002</v>
      </c>
      <c r="AC89" s="6">
        <f t="shared" si="16"/>
        <v>0.18000000000000002</v>
      </c>
      <c r="AD89" s="6">
        <f t="shared" si="16"/>
        <v>0.24000000000000005</v>
      </c>
      <c r="AE89" s="6">
        <f t="shared" si="16"/>
        <v>0.30000000000000004</v>
      </c>
      <c r="AF89" s="6">
        <f t="shared" si="16"/>
        <v>0.36000000000000004</v>
      </c>
      <c r="AG89" s="6">
        <f t="shared" si="16"/>
        <v>0.42000000000000004</v>
      </c>
      <c r="AH89" s="6">
        <f t="shared" si="16"/>
        <v>0.48000000000000009</v>
      </c>
      <c r="AI89" s="6">
        <f t="shared" si="16"/>
        <v>0.54000000000000015</v>
      </c>
      <c r="AJ89" s="6">
        <f t="shared" si="16"/>
        <v>0.60000000000000009</v>
      </c>
      <c r="AK89" s="6">
        <f t="shared" si="16"/>
        <v>0.60000000000000009</v>
      </c>
      <c r="AL89" s="6">
        <f t="shared" si="16"/>
        <v>0.60000000000000009</v>
      </c>
      <c r="AO89" s="8">
        <f>ROW()</f>
        <v>89</v>
      </c>
    </row>
    <row r="90" spans="1:41" s="38" customFormat="1" ht="13.9" customHeight="1" x14ac:dyDescent="0.2">
      <c r="A90" s="6"/>
      <c r="B90" s="6" t="s">
        <v>232</v>
      </c>
      <c r="G90"/>
      <c r="H90">
        <f t="shared" si="17"/>
        <v>2024</v>
      </c>
      <c r="I90"/>
      <c r="J90"/>
      <c r="K90"/>
      <c r="L90"/>
      <c r="M90" s="215"/>
      <c r="N90" s="215"/>
      <c r="O90" s="215"/>
      <c r="P90" s="6"/>
      <c r="Q90" s="6"/>
      <c r="R90" s="6"/>
      <c r="S90" s="6"/>
      <c r="T90" s="29"/>
      <c r="U90" s="6"/>
      <c r="V90" s="6"/>
      <c r="W90" s="6"/>
      <c r="X90" s="6"/>
      <c r="Y90" s="6"/>
      <c r="Z90" s="6"/>
      <c r="AA90" s="6"/>
      <c r="AB90" s="6">
        <f>AA89</f>
        <v>6.0000000000000012E-2</v>
      </c>
      <c r="AC90" s="6">
        <f t="shared" si="16"/>
        <v>0.12000000000000002</v>
      </c>
      <c r="AD90" s="6">
        <f t="shared" si="16"/>
        <v>0.18000000000000002</v>
      </c>
      <c r="AE90" s="6">
        <f t="shared" si="16"/>
        <v>0.24000000000000005</v>
      </c>
      <c r="AF90" s="6">
        <f t="shared" si="16"/>
        <v>0.30000000000000004</v>
      </c>
      <c r="AG90" s="6">
        <f t="shared" si="16"/>
        <v>0.36000000000000004</v>
      </c>
      <c r="AH90" s="6">
        <f t="shared" si="16"/>
        <v>0.42000000000000004</v>
      </c>
      <c r="AI90" s="6">
        <f t="shared" si="16"/>
        <v>0.48000000000000009</v>
      </c>
      <c r="AJ90" s="6">
        <f t="shared" si="16"/>
        <v>0.54000000000000015</v>
      </c>
      <c r="AK90" s="6">
        <f t="shared" si="16"/>
        <v>0.60000000000000009</v>
      </c>
      <c r="AL90" s="6">
        <f t="shared" si="16"/>
        <v>0.60000000000000009</v>
      </c>
      <c r="AO90" s="8">
        <f>ROW()</f>
        <v>90</v>
      </c>
    </row>
    <row r="91" spans="1:41" s="38" customFormat="1" ht="13.9" customHeight="1" x14ac:dyDescent="0.2">
      <c r="A91" s="6"/>
      <c r="B91" s="6" t="s">
        <v>232</v>
      </c>
      <c r="G91"/>
      <c r="H91">
        <f t="shared" si="17"/>
        <v>2025</v>
      </c>
      <c r="I91"/>
      <c r="J91"/>
      <c r="K91"/>
      <c r="L91"/>
      <c r="M91" s="215"/>
      <c r="N91" s="215"/>
      <c r="O91" s="215"/>
      <c r="P91" s="6"/>
      <c r="Q91" s="6"/>
      <c r="R91" s="6"/>
      <c r="S91" s="6"/>
      <c r="T91" s="29"/>
      <c r="U91" s="6"/>
      <c r="V91" s="6"/>
      <c r="W91" s="6"/>
      <c r="X91" s="6"/>
      <c r="Y91" s="6"/>
      <c r="Z91" s="6"/>
      <c r="AA91" s="6"/>
      <c r="AB91" s="6"/>
      <c r="AC91" s="6">
        <f t="shared" si="16"/>
        <v>6.0000000000000012E-2</v>
      </c>
      <c r="AD91" s="6">
        <f t="shared" si="16"/>
        <v>0.12000000000000002</v>
      </c>
      <c r="AE91" s="6">
        <f t="shared" si="16"/>
        <v>0.18000000000000002</v>
      </c>
      <c r="AF91" s="6">
        <f t="shared" si="16"/>
        <v>0.24000000000000005</v>
      </c>
      <c r="AG91" s="6">
        <f t="shared" si="16"/>
        <v>0.30000000000000004</v>
      </c>
      <c r="AH91" s="6">
        <f t="shared" si="16"/>
        <v>0.36000000000000004</v>
      </c>
      <c r="AI91" s="6">
        <f t="shared" si="16"/>
        <v>0.42000000000000004</v>
      </c>
      <c r="AJ91" s="6">
        <f t="shared" si="16"/>
        <v>0.48000000000000009</v>
      </c>
      <c r="AK91" s="6">
        <f t="shared" si="16"/>
        <v>0.54000000000000015</v>
      </c>
      <c r="AL91" s="6">
        <f t="shared" si="16"/>
        <v>0.60000000000000009</v>
      </c>
      <c r="AO91" s="8">
        <f>ROW()</f>
        <v>91</v>
      </c>
    </row>
    <row r="92" spans="1:41" s="38" customFormat="1" ht="13.9" customHeight="1" x14ac:dyDescent="0.2">
      <c r="A92" s="6"/>
      <c r="B92" s="6" t="s">
        <v>232</v>
      </c>
      <c r="G92"/>
      <c r="H92">
        <f t="shared" si="17"/>
        <v>2026</v>
      </c>
      <c r="I92"/>
      <c r="J92"/>
      <c r="K92"/>
      <c r="L92"/>
      <c r="M92" s="215"/>
      <c r="N92" s="215"/>
      <c r="O92" s="215"/>
      <c r="P92" s="6"/>
      <c r="Q92" s="6"/>
      <c r="R92" s="6"/>
      <c r="S92" s="6"/>
      <c r="T92" s="29"/>
      <c r="U92" s="6"/>
      <c r="V92" s="6"/>
      <c r="W92" s="6"/>
      <c r="X92" s="6"/>
      <c r="Y92" s="6"/>
      <c r="Z92" s="6"/>
      <c r="AA92" s="6"/>
      <c r="AB92" s="6"/>
      <c r="AC92" s="6"/>
      <c r="AD92" s="6">
        <f t="shared" si="16"/>
        <v>6.0000000000000012E-2</v>
      </c>
      <c r="AE92" s="6">
        <f t="shared" si="16"/>
        <v>0.12000000000000002</v>
      </c>
      <c r="AF92" s="6">
        <f t="shared" si="16"/>
        <v>0.18000000000000002</v>
      </c>
      <c r="AG92" s="6">
        <f t="shared" si="16"/>
        <v>0.24000000000000005</v>
      </c>
      <c r="AH92" s="6">
        <f t="shared" si="16"/>
        <v>0.30000000000000004</v>
      </c>
      <c r="AI92" s="6">
        <f t="shared" si="16"/>
        <v>0.36000000000000004</v>
      </c>
      <c r="AJ92" s="6">
        <f t="shared" si="16"/>
        <v>0.42000000000000004</v>
      </c>
      <c r="AK92" s="6">
        <f t="shared" si="16"/>
        <v>0.48000000000000009</v>
      </c>
      <c r="AL92" s="6">
        <f t="shared" si="16"/>
        <v>0.54000000000000015</v>
      </c>
      <c r="AO92" s="8">
        <f>ROW()</f>
        <v>92</v>
      </c>
    </row>
    <row r="93" spans="1:41" s="38" customFormat="1" ht="13.9" customHeight="1" x14ac:dyDescent="0.2">
      <c r="A93" s="6"/>
      <c r="B93" s="6" t="s">
        <v>232</v>
      </c>
      <c r="G93"/>
      <c r="H93">
        <f t="shared" si="17"/>
        <v>2027</v>
      </c>
      <c r="I93"/>
      <c r="J93"/>
      <c r="K93"/>
      <c r="L93"/>
      <c r="M93" s="215"/>
      <c r="N93" s="215"/>
      <c r="O93" s="215"/>
      <c r="P93" s="6"/>
      <c r="Q93" s="6"/>
      <c r="R93" s="6"/>
      <c r="S93" s="6"/>
      <c r="T93" s="29"/>
      <c r="U93" s="6"/>
      <c r="V93" s="6"/>
      <c r="W93" s="6"/>
      <c r="X93" s="6"/>
      <c r="Y93" s="6"/>
      <c r="Z93" s="6"/>
      <c r="AA93" s="6"/>
      <c r="AB93" s="6"/>
      <c r="AC93" s="6"/>
      <c r="AD93" s="6"/>
      <c r="AE93" s="6">
        <f>AD92</f>
        <v>6.0000000000000012E-2</v>
      </c>
      <c r="AF93" s="6">
        <f t="shared" si="16"/>
        <v>0.12000000000000002</v>
      </c>
      <c r="AG93" s="6">
        <f t="shared" si="16"/>
        <v>0.18000000000000002</v>
      </c>
      <c r="AH93" s="6">
        <f t="shared" si="16"/>
        <v>0.24000000000000005</v>
      </c>
      <c r="AI93" s="6">
        <f t="shared" si="16"/>
        <v>0.30000000000000004</v>
      </c>
      <c r="AJ93" s="6">
        <f t="shared" si="16"/>
        <v>0.36000000000000004</v>
      </c>
      <c r="AK93" s="6">
        <f t="shared" si="16"/>
        <v>0.42000000000000004</v>
      </c>
      <c r="AL93" s="6">
        <f t="shared" si="16"/>
        <v>0.48000000000000009</v>
      </c>
      <c r="AO93" s="8">
        <f>ROW()</f>
        <v>93</v>
      </c>
    </row>
    <row r="94" spans="1:41" s="38" customFormat="1" ht="13.9" customHeight="1" x14ac:dyDescent="0.2">
      <c r="A94" s="6"/>
      <c r="B94" s="6" t="s">
        <v>232</v>
      </c>
      <c r="G94"/>
      <c r="H94">
        <f t="shared" si="17"/>
        <v>2028</v>
      </c>
      <c r="I94"/>
      <c r="J94"/>
      <c r="K94" s="6"/>
      <c r="L94" s="6"/>
      <c r="M94" s="215"/>
      <c r="N94" s="215"/>
      <c r="O94" s="215"/>
      <c r="P94" s="6"/>
      <c r="Q94" s="6"/>
      <c r="R94" s="6"/>
      <c r="S94" s="6"/>
      <c r="T94" s="29"/>
      <c r="U94" s="6"/>
      <c r="V94" s="6"/>
      <c r="W94" s="6"/>
      <c r="X94" s="6"/>
      <c r="Y94" s="6"/>
      <c r="Z94" s="6"/>
      <c r="AA94" s="6"/>
      <c r="AB94" s="6"/>
      <c r="AC94" s="6"/>
      <c r="AD94" s="6"/>
      <c r="AE94" s="6"/>
      <c r="AF94" s="6">
        <f>AE93</f>
        <v>6.0000000000000012E-2</v>
      </c>
      <c r="AG94" s="6">
        <f t="shared" si="16"/>
        <v>0.12000000000000002</v>
      </c>
      <c r="AH94" s="6">
        <f t="shared" si="16"/>
        <v>0.18000000000000002</v>
      </c>
      <c r="AI94" s="6">
        <f t="shared" si="16"/>
        <v>0.24000000000000005</v>
      </c>
      <c r="AJ94" s="6">
        <f t="shared" si="16"/>
        <v>0.30000000000000004</v>
      </c>
      <c r="AK94" s="6">
        <f t="shared" si="16"/>
        <v>0.36000000000000004</v>
      </c>
      <c r="AL94" s="6">
        <f t="shared" si="16"/>
        <v>0.42000000000000004</v>
      </c>
      <c r="AO94" s="8">
        <f>ROW()</f>
        <v>94</v>
      </c>
    </row>
    <row r="95" spans="1:41" s="38" customFormat="1" ht="13.9" customHeight="1" x14ac:dyDescent="0.2">
      <c r="A95" s="6"/>
      <c r="B95" s="6" t="s">
        <v>232</v>
      </c>
      <c r="G95"/>
      <c r="H95">
        <f t="shared" si="17"/>
        <v>2029</v>
      </c>
      <c r="I95"/>
      <c r="J95"/>
      <c r="K95" s="6"/>
      <c r="L95" s="6"/>
      <c r="M95" s="84"/>
      <c r="N95" s="84"/>
      <c r="O95" s="84"/>
      <c r="P95" s="6"/>
      <c r="Q95" s="6"/>
      <c r="R95" s="6"/>
      <c r="S95" s="6"/>
      <c r="T95" s="29"/>
      <c r="U95" s="6"/>
      <c r="V95" s="6"/>
      <c r="W95" s="6"/>
      <c r="X95" s="6"/>
      <c r="Y95" s="6"/>
      <c r="Z95" s="6"/>
      <c r="AA95" s="6"/>
      <c r="AB95" s="6"/>
      <c r="AC95" s="6"/>
      <c r="AD95" s="6"/>
      <c r="AE95" s="6"/>
      <c r="AF95" s="6"/>
      <c r="AG95" s="6">
        <f t="shared" ref="AG95:AL95" si="22">AF94</f>
        <v>6.0000000000000012E-2</v>
      </c>
      <c r="AH95" s="6">
        <f t="shared" si="22"/>
        <v>0.12000000000000002</v>
      </c>
      <c r="AI95" s="6">
        <f t="shared" si="22"/>
        <v>0.18000000000000002</v>
      </c>
      <c r="AJ95" s="6">
        <f t="shared" si="22"/>
        <v>0.24000000000000005</v>
      </c>
      <c r="AK95" s="6">
        <f t="shared" si="22"/>
        <v>0.30000000000000004</v>
      </c>
      <c r="AL95" s="6">
        <f t="shared" si="22"/>
        <v>0.36000000000000004</v>
      </c>
      <c r="AO95" s="8">
        <f>ROW()</f>
        <v>95</v>
      </c>
    </row>
    <row r="96" spans="1:41" s="38" customFormat="1" ht="13.9" customHeight="1" x14ac:dyDescent="0.2">
      <c r="A96" s="6"/>
      <c r="B96" s="6" t="s">
        <v>232</v>
      </c>
      <c r="G96"/>
      <c r="H96">
        <f t="shared" si="17"/>
        <v>2030</v>
      </c>
      <c r="I96"/>
      <c r="J96"/>
      <c r="K96" s="6"/>
      <c r="L96" s="6"/>
      <c r="M96" s="84"/>
      <c r="N96" s="84"/>
      <c r="O96" s="84"/>
      <c r="P96" s="6"/>
      <c r="Q96" s="6"/>
      <c r="R96" s="6"/>
      <c r="S96" s="6"/>
      <c r="T96" s="29"/>
      <c r="U96" s="6"/>
      <c r="V96" s="6"/>
      <c r="W96" s="6"/>
      <c r="X96" s="6"/>
      <c r="Y96" s="6"/>
      <c r="Z96" s="6"/>
      <c r="AA96" s="6"/>
      <c r="AB96" s="6"/>
      <c r="AC96" s="6"/>
      <c r="AD96" s="6"/>
      <c r="AE96" s="6"/>
      <c r="AF96" s="6"/>
      <c r="AG96" s="6"/>
      <c r="AH96" s="6">
        <f>AG95</f>
        <v>6.0000000000000012E-2</v>
      </c>
      <c r="AI96" s="6">
        <f>AH95</f>
        <v>0.12000000000000002</v>
      </c>
      <c r="AJ96" s="6">
        <f>AI95</f>
        <v>0.18000000000000002</v>
      </c>
      <c r="AK96" s="6">
        <f>AJ95</f>
        <v>0.24000000000000005</v>
      </c>
      <c r="AL96" s="6">
        <f>AK95</f>
        <v>0.30000000000000004</v>
      </c>
      <c r="AO96" s="8">
        <f>ROW()</f>
        <v>96</v>
      </c>
    </row>
    <row r="97" spans="1:41" s="38" customFormat="1" ht="13.9" customHeight="1" x14ac:dyDescent="0.2">
      <c r="A97" s="6"/>
      <c r="B97" s="6" t="s">
        <v>232</v>
      </c>
      <c r="G97"/>
      <c r="H97">
        <f t="shared" si="17"/>
        <v>2031</v>
      </c>
      <c r="I97"/>
      <c r="J97"/>
      <c r="K97" s="6"/>
      <c r="L97" s="6"/>
      <c r="M97" s="84"/>
      <c r="N97" s="84"/>
      <c r="O97" s="84"/>
      <c r="P97" s="6"/>
      <c r="Q97" s="6"/>
      <c r="R97" s="6"/>
      <c r="S97" s="6"/>
      <c r="T97" s="29"/>
      <c r="U97" s="6"/>
      <c r="V97" s="6"/>
      <c r="W97" s="6"/>
      <c r="X97" s="6"/>
      <c r="Y97" s="6"/>
      <c r="Z97" s="6"/>
      <c r="AA97" s="6"/>
      <c r="AB97" s="6"/>
      <c r="AC97" s="6"/>
      <c r="AD97" s="6"/>
      <c r="AE97" s="6"/>
      <c r="AF97" s="6"/>
      <c r="AG97" s="6"/>
      <c r="AH97" s="6"/>
      <c r="AI97" s="6">
        <f>AH96</f>
        <v>6.0000000000000012E-2</v>
      </c>
      <c r="AJ97" s="6">
        <f>AI96</f>
        <v>0.12000000000000002</v>
      </c>
      <c r="AK97" s="6">
        <f>AJ96</f>
        <v>0.18000000000000002</v>
      </c>
      <c r="AL97" s="6">
        <f>AK96</f>
        <v>0.24000000000000005</v>
      </c>
      <c r="AO97" s="8">
        <f>ROW()</f>
        <v>97</v>
      </c>
    </row>
    <row r="98" spans="1:41" s="38" customFormat="1" ht="13.9" customHeight="1" x14ac:dyDescent="0.2">
      <c r="A98" s="6"/>
      <c r="B98" s="6" t="s">
        <v>232</v>
      </c>
      <c r="G98"/>
      <c r="H98">
        <f t="shared" si="17"/>
        <v>2032</v>
      </c>
      <c r="I98"/>
      <c r="J98"/>
      <c r="K98" s="6"/>
      <c r="L98" s="6"/>
      <c r="M98" s="84"/>
      <c r="N98" s="84"/>
      <c r="O98" s="84"/>
      <c r="P98" s="6"/>
      <c r="Q98" s="6"/>
      <c r="R98" s="6"/>
      <c r="S98" s="6"/>
      <c r="T98" s="29"/>
      <c r="U98" s="6"/>
      <c r="V98" s="6"/>
      <c r="W98" s="6"/>
      <c r="X98" s="6"/>
      <c r="Y98" s="6"/>
      <c r="Z98" s="6"/>
      <c r="AA98" s="6"/>
      <c r="AB98" s="6"/>
      <c r="AC98" s="6"/>
      <c r="AD98" s="6"/>
      <c r="AE98" s="6"/>
      <c r="AF98" s="6"/>
      <c r="AG98" s="6"/>
      <c r="AH98" s="6"/>
      <c r="AI98" s="6"/>
      <c r="AJ98" s="6">
        <f>AI97</f>
        <v>6.0000000000000012E-2</v>
      </c>
      <c r="AK98" s="6">
        <f>AJ97</f>
        <v>0.12000000000000002</v>
      </c>
      <c r="AL98" s="6">
        <f>AK97</f>
        <v>0.18000000000000002</v>
      </c>
      <c r="AO98" s="8">
        <f>ROW()</f>
        <v>98</v>
      </c>
    </row>
    <row r="99" spans="1:41" s="38" customFormat="1" ht="13.9" customHeight="1" x14ac:dyDescent="0.2">
      <c r="A99" s="16"/>
      <c r="B99" s="6" t="s">
        <v>232</v>
      </c>
      <c r="G99"/>
      <c r="H99">
        <f t="shared" si="17"/>
        <v>2033</v>
      </c>
      <c r="I99"/>
      <c r="J99"/>
      <c r="K99" s="6"/>
      <c r="L99" s="6"/>
      <c r="M99" s="84"/>
      <c r="N99" s="84"/>
      <c r="O99" s="84"/>
      <c r="P99" s="6"/>
      <c r="Q99" s="6"/>
      <c r="R99" s="6"/>
      <c r="S99" s="6"/>
      <c r="T99" s="29"/>
      <c r="U99" s="6"/>
      <c r="V99" s="6"/>
      <c r="W99" s="6"/>
      <c r="X99" s="6"/>
      <c r="Y99" s="6"/>
      <c r="Z99" s="6"/>
      <c r="AA99" s="6"/>
      <c r="AB99" s="6"/>
      <c r="AC99" s="6"/>
      <c r="AD99" s="6"/>
      <c r="AE99" s="6"/>
      <c r="AF99" s="6"/>
      <c r="AG99" s="6"/>
      <c r="AH99" s="6"/>
      <c r="AI99" s="6"/>
      <c r="AJ99" s="6"/>
      <c r="AK99" s="6">
        <f>AJ98</f>
        <v>6.0000000000000012E-2</v>
      </c>
      <c r="AL99" s="6">
        <f>AK98</f>
        <v>0.12000000000000002</v>
      </c>
      <c r="AO99" s="8">
        <f>ROW()</f>
        <v>99</v>
      </c>
    </row>
    <row r="100" spans="1:41" s="38" customFormat="1" ht="13.9" customHeight="1" x14ac:dyDescent="0.2">
      <c r="A100"/>
      <c r="B100" s="6" t="s">
        <v>232</v>
      </c>
      <c r="G100"/>
      <c r="H100">
        <f t="shared" si="17"/>
        <v>2034</v>
      </c>
      <c r="I100"/>
      <c r="J100"/>
      <c r="K100" s="6"/>
      <c r="L100" s="6"/>
      <c r="M100" s="84"/>
      <c r="N100" s="84"/>
      <c r="O100" s="84"/>
      <c r="P100" s="6"/>
      <c r="Q100" s="6"/>
      <c r="R100" s="6"/>
      <c r="S100" s="6"/>
      <c r="T100" s="29"/>
      <c r="U100" s="6"/>
      <c r="V100" s="6"/>
      <c r="W100" s="6"/>
      <c r="X100" s="6"/>
      <c r="Y100" s="6"/>
      <c r="Z100" s="6"/>
      <c r="AA100" s="6"/>
      <c r="AB100" s="6"/>
      <c r="AC100" s="6"/>
      <c r="AD100" s="6"/>
      <c r="AE100" s="6"/>
      <c r="AF100" s="6"/>
      <c r="AG100" s="6"/>
      <c r="AH100" s="6"/>
      <c r="AI100" s="6"/>
      <c r="AJ100" s="6"/>
      <c r="AK100" s="6"/>
      <c r="AL100" s="6">
        <f>AK99</f>
        <v>6.0000000000000012E-2</v>
      </c>
      <c r="AO100" s="8">
        <f>ROW()</f>
        <v>100</v>
      </c>
    </row>
    <row r="101" spans="1:41" s="38" customFormat="1" ht="13.9" customHeight="1" x14ac:dyDescent="0.2">
      <c r="A101"/>
      <c r="B101" s="40"/>
      <c r="K101"/>
      <c r="L101"/>
      <c r="M101" s="84"/>
      <c r="N101" s="84"/>
      <c r="O101" s="84"/>
      <c r="AO101" s="8">
        <f>ROW()</f>
        <v>101</v>
      </c>
    </row>
    <row r="102" spans="1:41" s="39" customFormat="1" ht="13.9" customHeight="1" x14ac:dyDescent="0.2">
      <c r="A102"/>
      <c r="B102" s="41" t="s">
        <v>29</v>
      </c>
      <c r="G102"/>
      <c r="H102">
        <f>H78</f>
        <v>2012</v>
      </c>
      <c r="I102"/>
      <c r="J102"/>
      <c r="K102"/>
      <c r="L102"/>
      <c r="M102" s="84"/>
      <c r="N102" s="84"/>
      <c r="O102" s="84"/>
      <c r="P102" s="16">
        <f t="shared" ref="P102:AL102" si="23">(1+$P$67)^(-P78)</f>
        <v>0.98976960383689372</v>
      </c>
      <c r="Q102" s="16">
        <f t="shared" si="23"/>
        <v>0.97964386867944131</v>
      </c>
      <c r="R102" s="16">
        <f t="shared" si="23"/>
        <v>0.96962172380409239</v>
      </c>
      <c r="S102" s="16">
        <f t="shared" si="23"/>
        <v>0.95970210944122236</v>
      </c>
      <c r="T102" s="16">
        <f t="shared" si="23"/>
        <v>0.9498839766630699</v>
      </c>
      <c r="U102" s="16">
        <f t="shared" si="23"/>
        <v>0.94016628727281959</v>
      </c>
      <c r="V102" s="16">
        <f t="shared" si="23"/>
        <v>0.93054801369482187</v>
      </c>
      <c r="W102" s="16">
        <f t="shared" si="23"/>
        <v>0.92102813886593193</v>
      </c>
      <c r="X102" s="16">
        <f t="shared" si="23"/>
        <v>0.91160565612796507</v>
      </c>
      <c r="Y102" s="16">
        <f t="shared" si="23"/>
        <v>0.9022795691212474</v>
      </c>
      <c r="Z102" s="16">
        <f t="shared" si="23"/>
        <v>0.9022795691212474</v>
      </c>
      <c r="AA102" s="16">
        <f t="shared" si="23"/>
        <v>0.9022795691212474</v>
      </c>
      <c r="AB102" s="16">
        <f t="shared" si="23"/>
        <v>0.9022795691212474</v>
      </c>
      <c r="AC102" s="16">
        <f t="shared" si="23"/>
        <v>0.9022795691212474</v>
      </c>
      <c r="AD102" s="16">
        <f t="shared" si="23"/>
        <v>0.9022795691212474</v>
      </c>
      <c r="AE102" s="16">
        <f t="shared" si="23"/>
        <v>0.9022795691212474</v>
      </c>
      <c r="AF102" s="16">
        <f t="shared" si="23"/>
        <v>0.9022795691212474</v>
      </c>
      <c r="AG102" s="16">
        <f t="shared" si="23"/>
        <v>0.9022795691212474</v>
      </c>
      <c r="AH102" s="16">
        <f t="shared" si="23"/>
        <v>0.9022795691212474</v>
      </c>
      <c r="AI102" s="16">
        <f t="shared" si="23"/>
        <v>0.9022795691212474</v>
      </c>
      <c r="AJ102" s="16">
        <f t="shared" si="23"/>
        <v>0.9022795691212474</v>
      </c>
      <c r="AK102" s="16">
        <f t="shared" si="23"/>
        <v>0.9022795691212474</v>
      </c>
      <c r="AL102" s="16">
        <f t="shared" si="23"/>
        <v>0.9022795691212474</v>
      </c>
      <c r="AO102" s="8">
        <f>ROW()</f>
        <v>102</v>
      </c>
    </row>
    <row r="103" spans="1:41" ht="13.9" customHeight="1" x14ac:dyDescent="0.2">
      <c r="B103" s="41" t="s">
        <v>29</v>
      </c>
      <c r="C103" s="41"/>
      <c r="H103">
        <f t="shared" ref="H103:H124" si="24">H79</f>
        <v>2013</v>
      </c>
      <c r="M103" s="84"/>
      <c r="P103" s="16">
        <f>(1+$P$67)^(-P79)</f>
        <v>1</v>
      </c>
      <c r="Q103" s="16">
        <f>(1+$Q$67)^(-Q79)</f>
        <v>0.99851832156201104</v>
      </c>
      <c r="R103" s="16">
        <f>(1+$Q$67)^(-R79)</f>
        <v>0.9970388384950154</v>
      </c>
      <c r="S103" s="16">
        <f>(1+$Q$67)^(-S79)</f>
        <v>0.99556154754617976</v>
      </c>
      <c r="T103" s="16">
        <f>(1+$Q$67)^(-T79)</f>
        <v>0.99408644546748959</v>
      </c>
      <c r="U103" s="16">
        <f>(1+$Q$67)^(-U79)</f>
        <v>0.9926135290157434</v>
      </c>
      <c r="V103" s="16">
        <f t="shared" ref="V103:AL103" si="25">(1+$Q$67)^(-V79)</f>
        <v>0.99114279495254443</v>
      </c>
      <c r="W103" s="16">
        <f t="shared" si="25"/>
        <v>0.98967424004429516</v>
      </c>
      <c r="X103" s="16">
        <f t="shared" si="25"/>
        <v>0.98820786106218828</v>
      </c>
      <c r="Y103" s="16">
        <f t="shared" si="25"/>
        <v>0.98674365478220105</v>
      </c>
      <c r="Z103" s="16">
        <f t="shared" si="25"/>
        <v>0.98528161798508795</v>
      </c>
      <c r="AA103" s="16">
        <f t="shared" si="25"/>
        <v>0.98528161798508795</v>
      </c>
      <c r="AB103" s="16">
        <f t="shared" si="25"/>
        <v>0.98528161798508795</v>
      </c>
      <c r="AC103" s="16">
        <f t="shared" si="25"/>
        <v>0.98528161798508795</v>
      </c>
      <c r="AD103" s="16">
        <f t="shared" si="25"/>
        <v>0.98528161798508795</v>
      </c>
      <c r="AE103" s="16">
        <f t="shared" si="25"/>
        <v>0.98528161798508795</v>
      </c>
      <c r="AF103" s="16">
        <f t="shared" si="25"/>
        <v>0.98528161798508795</v>
      </c>
      <c r="AG103" s="16">
        <f t="shared" si="25"/>
        <v>0.98528161798508795</v>
      </c>
      <c r="AH103" s="16">
        <f t="shared" si="25"/>
        <v>0.98528161798508795</v>
      </c>
      <c r="AI103" s="16">
        <f t="shared" si="25"/>
        <v>0.98528161798508795</v>
      </c>
      <c r="AJ103" s="16">
        <f t="shared" si="25"/>
        <v>0.98528161798508795</v>
      </c>
      <c r="AK103" s="16">
        <f t="shared" si="25"/>
        <v>0.98528161798508795</v>
      </c>
      <c r="AL103" s="16">
        <f t="shared" si="25"/>
        <v>0.98528161798508795</v>
      </c>
      <c r="AO103" s="8">
        <f>ROW()</f>
        <v>103</v>
      </c>
    </row>
    <row r="104" spans="1:41" ht="13.9" customHeight="1" x14ac:dyDescent="0.2">
      <c r="B104" s="41" t="s">
        <v>29</v>
      </c>
      <c r="C104" s="41"/>
      <c r="H104">
        <f t="shared" si="24"/>
        <v>2014</v>
      </c>
      <c r="K104" s="3"/>
      <c r="L104" s="3"/>
      <c r="M104" s="129"/>
      <c r="N104" s="129"/>
      <c r="O104" s="129"/>
      <c r="P104" s="16">
        <f t="shared" ref="P104:P124" si="26">(1+$P$67)^(-P80)</f>
        <v>1</v>
      </c>
      <c r="Q104" s="16">
        <f t="shared" ref="Q104:Q124" si="27">(1+$Q$67)^(-Q80)</f>
        <v>1</v>
      </c>
      <c r="R104" s="17">
        <f t="shared" ref="R104:AL104" si="28">(1+$R$67)^(-R80)</f>
        <v>0.99849642903535574</v>
      </c>
      <c r="S104" s="17">
        <f t="shared" si="28"/>
        <v>0.99699511879635705</v>
      </c>
      <c r="T104" s="17">
        <f t="shared" si="28"/>
        <v>0.99549606588384287</v>
      </c>
      <c r="U104" s="17">
        <f t="shared" si="28"/>
        <v>0.99399926690376206</v>
      </c>
      <c r="V104" s="17">
        <f t="shared" si="28"/>
        <v>0.99250471846716781</v>
      </c>
      <c r="W104" s="17">
        <f t="shared" si="28"/>
        <v>0.99101241719020816</v>
      </c>
      <c r="X104" s="17">
        <f t="shared" si="28"/>
        <v>0.98952235969411906</v>
      </c>
      <c r="Y104" s="17">
        <f t="shared" si="28"/>
        <v>0.98803454260521661</v>
      </c>
      <c r="Z104" s="17">
        <f t="shared" si="28"/>
        <v>0.98654896255488966</v>
      </c>
      <c r="AA104" s="17">
        <f t="shared" si="28"/>
        <v>0.9850656161795921</v>
      </c>
      <c r="AB104" s="17">
        <f t="shared" si="28"/>
        <v>0.9850656161795921</v>
      </c>
      <c r="AC104" s="17">
        <f t="shared" si="28"/>
        <v>0.9850656161795921</v>
      </c>
      <c r="AD104" s="17">
        <f t="shared" si="28"/>
        <v>0.9850656161795921</v>
      </c>
      <c r="AE104" s="17">
        <f t="shared" si="28"/>
        <v>0.9850656161795921</v>
      </c>
      <c r="AF104" s="17">
        <f t="shared" si="28"/>
        <v>0.9850656161795921</v>
      </c>
      <c r="AG104" s="17">
        <f t="shared" si="28"/>
        <v>0.9850656161795921</v>
      </c>
      <c r="AH104" s="17">
        <f t="shared" si="28"/>
        <v>0.9850656161795921</v>
      </c>
      <c r="AI104" s="17">
        <f t="shared" si="28"/>
        <v>0.9850656161795921</v>
      </c>
      <c r="AJ104" s="17">
        <f t="shared" si="28"/>
        <v>0.9850656161795921</v>
      </c>
      <c r="AK104" s="17">
        <f t="shared" si="28"/>
        <v>0.9850656161795921</v>
      </c>
      <c r="AL104" s="17">
        <f t="shared" si="28"/>
        <v>0.9850656161795921</v>
      </c>
      <c r="AM104" s="17"/>
      <c r="AO104" s="8">
        <f>ROW()</f>
        <v>104</v>
      </c>
    </row>
    <row r="105" spans="1:41" ht="13.9" customHeight="1" x14ac:dyDescent="0.2">
      <c r="B105" s="41" t="s">
        <v>29</v>
      </c>
      <c r="C105" s="41"/>
      <c r="H105">
        <f t="shared" si="24"/>
        <v>2015</v>
      </c>
      <c r="K105" s="3"/>
      <c r="L105" s="3"/>
      <c r="M105" s="129"/>
      <c r="N105" s="129"/>
      <c r="O105" s="129"/>
      <c r="P105" s="16">
        <f t="shared" si="26"/>
        <v>1</v>
      </c>
      <c r="Q105" s="16">
        <f t="shared" si="27"/>
        <v>1</v>
      </c>
      <c r="R105" s="17">
        <f t="shared" ref="R105:R124" si="29">(1+$R$67)^(-R81)</f>
        <v>1</v>
      </c>
      <c r="S105" s="17">
        <f>(1+$S$67)^(-S81)</f>
        <v>0.99847308842861759</v>
      </c>
      <c r="T105" s="17">
        <f>(1+$S$67)^(-T81)</f>
        <v>0.99694850831618209</v>
      </c>
      <c r="U105" s="17">
        <f t="shared" ref="U105:AL105" si="30">(1+$S$67)^(-U81)</f>
        <v>0.9954262561027617</v>
      </c>
      <c r="V105" s="17">
        <f t="shared" si="30"/>
        <v>0.9939063282338606</v>
      </c>
      <c r="W105" s="17">
        <f t="shared" si="30"/>
        <v>0.9923887211604101</v>
      </c>
      <c r="X105" s="17">
        <f t="shared" si="30"/>
        <v>0.99087343133876071</v>
      </c>
      <c r="Y105" s="17">
        <f t="shared" si="30"/>
        <v>0.98936045523067417</v>
      </c>
      <c r="Z105" s="17">
        <f t="shared" si="30"/>
        <v>0.98784978930331435</v>
      </c>
      <c r="AA105" s="17">
        <f t="shared" si="30"/>
        <v>0.98634143002923957</v>
      </c>
      <c r="AB105" s="17">
        <f t="shared" si="30"/>
        <v>0.98483537388639397</v>
      </c>
      <c r="AC105" s="17">
        <f t="shared" si="30"/>
        <v>0.98483537388639397</v>
      </c>
      <c r="AD105" s="17">
        <f t="shared" si="30"/>
        <v>0.98483537388639397</v>
      </c>
      <c r="AE105" s="17">
        <f t="shared" si="30"/>
        <v>0.98483537388639397</v>
      </c>
      <c r="AF105" s="17">
        <f t="shared" si="30"/>
        <v>0.98483537388639397</v>
      </c>
      <c r="AG105" s="17">
        <f t="shared" si="30"/>
        <v>0.98483537388639397</v>
      </c>
      <c r="AH105" s="17">
        <f t="shared" si="30"/>
        <v>0.98483537388639397</v>
      </c>
      <c r="AI105" s="17">
        <f t="shared" si="30"/>
        <v>0.98483537388639397</v>
      </c>
      <c r="AJ105" s="17">
        <f t="shared" si="30"/>
        <v>0.98483537388639397</v>
      </c>
      <c r="AK105" s="17">
        <f t="shared" si="30"/>
        <v>0.98483537388639397</v>
      </c>
      <c r="AL105" s="17">
        <f t="shared" si="30"/>
        <v>0.98483537388639397</v>
      </c>
      <c r="AO105" s="8">
        <f>ROW()</f>
        <v>105</v>
      </c>
    </row>
    <row r="106" spans="1:41" ht="13.9" customHeight="1" x14ac:dyDescent="0.2">
      <c r="B106" s="41" t="s">
        <v>29</v>
      </c>
      <c r="C106" s="41"/>
      <c r="H106">
        <f t="shared" si="24"/>
        <v>2016</v>
      </c>
      <c r="K106" s="3"/>
      <c r="L106" s="3"/>
      <c r="M106" s="129"/>
      <c r="N106" s="129"/>
      <c r="O106" s="129"/>
      <c r="P106" s="16">
        <f t="shared" si="26"/>
        <v>1</v>
      </c>
      <c r="Q106" s="16">
        <f t="shared" si="27"/>
        <v>1</v>
      </c>
      <c r="R106" s="17">
        <f t="shared" si="29"/>
        <v>1</v>
      </c>
      <c r="S106" s="17">
        <f t="shared" ref="S106:S124" si="31">(1+$S$67)^(-S82)</f>
        <v>1</v>
      </c>
      <c r="T106" s="17">
        <f>(1+$T$67)^(-T82)</f>
        <v>0.99844822533152988</v>
      </c>
      <c r="U106" s="17">
        <f t="shared" ref="U106:AL106" si="32">(1+$T$67)^(-U82)</f>
        <v>0.99689885866768146</v>
      </c>
      <c r="V106" s="17">
        <f t="shared" si="32"/>
        <v>0.99535189627177401</v>
      </c>
      <c r="W106" s="17">
        <f t="shared" si="32"/>
        <v>0.9938073344129259</v>
      </c>
      <c r="X106" s="17">
        <f t="shared" si="32"/>
        <v>0.99226516936604392</v>
      </c>
      <c r="Y106" s="17">
        <f t="shared" si="32"/>
        <v>0.99072539741181653</v>
      </c>
      <c r="Z106" s="17">
        <f t="shared" si="32"/>
        <v>0.98918801483670293</v>
      </c>
      <c r="AA106" s="17">
        <f t="shared" si="32"/>
        <v>0.98765301793292504</v>
      </c>
      <c r="AB106" s="17">
        <f t="shared" si="32"/>
        <v>0.9861204029984586</v>
      </c>
      <c r="AC106" s="17">
        <f t="shared" si="32"/>
        <v>0.98459016633702412</v>
      </c>
      <c r="AD106" s="17">
        <f t="shared" si="32"/>
        <v>0.98459016633702412</v>
      </c>
      <c r="AE106" s="17">
        <f t="shared" si="32"/>
        <v>0.98459016633702412</v>
      </c>
      <c r="AF106" s="17">
        <f t="shared" si="32"/>
        <v>0.98459016633702412</v>
      </c>
      <c r="AG106" s="17">
        <f t="shared" si="32"/>
        <v>0.98459016633702412</v>
      </c>
      <c r="AH106" s="17">
        <f t="shared" si="32"/>
        <v>0.98459016633702412</v>
      </c>
      <c r="AI106" s="17">
        <f t="shared" si="32"/>
        <v>0.98459016633702412</v>
      </c>
      <c r="AJ106" s="17">
        <f t="shared" si="32"/>
        <v>0.98459016633702412</v>
      </c>
      <c r="AK106" s="17">
        <f t="shared" si="32"/>
        <v>0.98459016633702412</v>
      </c>
      <c r="AL106" s="17">
        <f t="shared" si="32"/>
        <v>0.98459016633702412</v>
      </c>
      <c r="AO106" s="8">
        <f>ROW()</f>
        <v>106</v>
      </c>
    </row>
    <row r="107" spans="1:41" ht="13.9" customHeight="1" x14ac:dyDescent="0.2">
      <c r="B107" s="41" t="s">
        <v>29</v>
      </c>
      <c r="C107" s="41"/>
      <c r="H107">
        <f t="shared" si="24"/>
        <v>2017</v>
      </c>
      <c r="K107" s="3"/>
      <c r="L107" s="3"/>
      <c r="M107" s="129"/>
      <c r="N107" s="129"/>
      <c r="O107" s="129"/>
      <c r="P107" s="16">
        <f t="shared" si="26"/>
        <v>1</v>
      </c>
      <c r="Q107" s="16">
        <f t="shared" si="27"/>
        <v>1</v>
      </c>
      <c r="R107" s="17">
        <f t="shared" si="29"/>
        <v>1</v>
      </c>
      <c r="S107" s="17">
        <f t="shared" si="31"/>
        <v>1</v>
      </c>
      <c r="T107" s="17">
        <f t="shared" ref="T107:T124" si="33">(1+$T$67)^(-T83)</f>
        <v>1</v>
      </c>
      <c r="U107" s="17">
        <f>(1+$U$67)^(-U83)</f>
        <v>0.9984217647487843</v>
      </c>
      <c r="V107" s="17">
        <f t="shared" ref="V107:AL107" si="34">(1+$U$67)^(-V83)</f>
        <v>0.99684602032407665</v>
      </c>
      <c r="W107" s="17">
        <f t="shared" si="34"/>
        <v>0.99527276279476717</v>
      </c>
      <c r="X107" s="17">
        <f t="shared" si="34"/>
        <v>0.99370198823594935</v>
      </c>
      <c r="Y107" s="17">
        <f t="shared" si="34"/>
        <v>0.99213369272891239</v>
      </c>
      <c r="Z107" s="17">
        <f t="shared" si="34"/>
        <v>0.99056787236112875</v>
      </c>
      <c r="AA107" s="17">
        <f t="shared" si="34"/>
        <v>0.98900452322624655</v>
      </c>
      <c r="AB107" s="17">
        <f t="shared" si="34"/>
        <v>0.98744364142407903</v>
      </c>
      <c r="AC107" s="17">
        <f t="shared" si="34"/>
        <v>0.98588522306059467</v>
      </c>
      <c r="AD107" s="17">
        <f t="shared" si="34"/>
        <v>0.98432926424790779</v>
      </c>
      <c r="AE107" s="17">
        <f t="shared" si="34"/>
        <v>0.98432926424790779</v>
      </c>
      <c r="AF107" s="17">
        <f t="shared" si="34"/>
        <v>0.98432926424790779</v>
      </c>
      <c r="AG107" s="17">
        <f t="shared" si="34"/>
        <v>0.98432926424790779</v>
      </c>
      <c r="AH107" s="17">
        <f t="shared" si="34"/>
        <v>0.98432926424790779</v>
      </c>
      <c r="AI107" s="17">
        <f t="shared" si="34"/>
        <v>0.98432926424790779</v>
      </c>
      <c r="AJ107" s="17">
        <f t="shared" si="34"/>
        <v>0.98432926424790779</v>
      </c>
      <c r="AK107" s="17">
        <f t="shared" si="34"/>
        <v>0.98432926424790779</v>
      </c>
      <c r="AL107" s="17">
        <f t="shared" si="34"/>
        <v>0.98432926424790779</v>
      </c>
      <c r="AO107" s="8">
        <f>ROW()</f>
        <v>107</v>
      </c>
    </row>
    <row r="108" spans="1:41" ht="13.9" customHeight="1" x14ac:dyDescent="0.2">
      <c r="B108" s="41" t="s">
        <v>29</v>
      </c>
      <c r="C108" s="41"/>
      <c r="H108">
        <f t="shared" si="24"/>
        <v>2018</v>
      </c>
      <c r="K108" s="3"/>
      <c r="L108" s="3"/>
      <c r="M108" s="129"/>
      <c r="N108" s="129"/>
      <c r="O108" s="129"/>
      <c r="P108" s="16">
        <f t="shared" si="26"/>
        <v>1</v>
      </c>
      <c r="Q108" s="16">
        <f t="shared" si="27"/>
        <v>1</v>
      </c>
      <c r="R108" s="17">
        <f t="shared" si="29"/>
        <v>1</v>
      </c>
      <c r="S108" s="17">
        <f t="shared" si="31"/>
        <v>1</v>
      </c>
      <c r="T108" s="17">
        <f t="shared" si="33"/>
        <v>1</v>
      </c>
      <c r="U108" s="17">
        <f t="shared" ref="U108:U124" si="35">(1+$U$67)^(-U84)</f>
        <v>1</v>
      </c>
      <c r="V108" s="17">
        <f>(1+$V$67)^(-V84)</f>
        <v>0.99839363165801309</v>
      </c>
      <c r="W108" s="17">
        <f t="shared" ref="W108:AL108" si="36">(1+$V$67)^(-W84)</f>
        <v>0.99678984373527646</v>
      </c>
      <c r="X108" s="17">
        <f t="shared" si="36"/>
        <v>0.99518863208668606</v>
      </c>
      <c r="Y108" s="17">
        <f t="shared" si="36"/>
        <v>0.99358999257379688</v>
      </c>
      <c r="Z108" s="17">
        <f t="shared" si="36"/>
        <v>0.99199392106481132</v>
      </c>
      <c r="AA108" s="17">
        <f t="shared" si="36"/>
        <v>0.99040041343456942</v>
      </c>
      <c r="AB108" s="17">
        <f t="shared" si="36"/>
        <v>0.98880946556453753</v>
      </c>
      <c r="AC108" s="17">
        <f t="shared" si="36"/>
        <v>0.98722107334279763</v>
      </c>
      <c r="AD108" s="17">
        <f t="shared" si="36"/>
        <v>0.98563523266403752</v>
      </c>
      <c r="AE108" s="17">
        <f t="shared" si="36"/>
        <v>0.98405193942953928</v>
      </c>
      <c r="AF108" s="17">
        <f t="shared" si="36"/>
        <v>0.98405193942953928</v>
      </c>
      <c r="AG108" s="17">
        <f t="shared" si="36"/>
        <v>0.98405193942953928</v>
      </c>
      <c r="AH108" s="17">
        <f t="shared" si="36"/>
        <v>0.98405193942953928</v>
      </c>
      <c r="AI108" s="17">
        <f t="shared" si="36"/>
        <v>0.98405193942953928</v>
      </c>
      <c r="AJ108" s="17">
        <f t="shared" si="36"/>
        <v>0.98405193942953928</v>
      </c>
      <c r="AK108" s="17">
        <f t="shared" si="36"/>
        <v>0.98405193942953928</v>
      </c>
      <c r="AL108" s="17">
        <f t="shared" si="36"/>
        <v>0.98405193942953928</v>
      </c>
      <c r="AO108" s="8">
        <f>ROW()</f>
        <v>108</v>
      </c>
    </row>
    <row r="109" spans="1:41" ht="13.9" customHeight="1" x14ac:dyDescent="0.2">
      <c r="B109" s="41" t="s">
        <v>29</v>
      </c>
      <c r="C109" s="41"/>
      <c r="H109">
        <f t="shared" si="24"/>
        <v>2019</v>
      </c>
      <c r="K109" s="3"/>
      <c r="L109" s="3"/>
      <c r="M109" s="129"/>
      <c r="N109" s="129"/>
      <c r="O109" s="129"/>
      <c r="P109" s="16">
        <f t="shared" si="26"/>
        <v>1</v>
      </c>
      <c r="Q109" s="16">
        <f t="shared" si="27"/>
        <v>1</v>
      </c>
      <c r="R109" s="17">
        <f t="shared" si="29"/>
        <v>1</v>
      </c>
      <c r="S109" s="17">
        <f t="shared" si="31"/>
        <v>1</v>
      </c>
      <c r="T109" s="17">
        <f t="shared" si="33"/>
        <v>1</v>
      </c>
      <c r="U109" s="17">
        <f t="shared" si="35"/>
        <v>1</v>
      </c>
      <c r="V109" s="17">
        <f t="shared" ref="V109:V124" si="37">(1+$V$67)^(-V85)</f>
        <v>1</v>
      </c>
      <c r="W109" s="17">
        <f t="shared" ref="W109:AL109" si="38">(1+$W$67)^(-W85)</f>
        <v>0.99836375165876845</v>
      </c>
      <c r="X109" s="17">
        <f t="shared" si="38"/>
        <v>0.99673018062617125</v>
      </c>
      <c r="Y109" s="17">
        <f t="shared" si="38"/>
        <v>0.99509928252146629</v>
      </c>
      <c r="Z109" s="17">
        <f t="shared" si="38"/>
        <v>0.99347105297107985</v>
      </c>
      <c r="AA109" s="17">
        <f t="shared" si="38"/>
        <v>0.99184548760859426</v>
      </c>
      <c r="AB109" s="17">
        <f t="shared" si="38"/>
        <v>0.99022258207473668</v>
      </c>
      <c r="AC109" s="17">
        <f t="shared" si="38"/>
        <v>0.98860233201736691</v>
      </c>
      <c r="AD109" s="17">
        <f t="shared" si="38"/>
        <v>0.98698473309146606</v>
      </c>
      <c r="AE109" s="17">
        <f t="shared" si="38"/>
        <v>0.9853697809591242</v>
      </c>
      <c r="AF109" s="17">
        <f t="shared" si="38"/>
        <v>0.98375747128953028</v>
      </c>
      <c r="AG109" s="17">
        <f t="shared" si="38"/>
        <v>0.98375747128953028</v>
      </c>
      <c r="AH109" s="17">
        <f t="shared" si="38"/>
        <v>0.98375747128953028</v>
      </c>
      <c r="AI109" s="17">
        <f t="shared" si="38"/>
        <v>0.98375747128953028</v>
      </c>
      <c r="AJ109" s="17">
        <f t="shared" si="38"/>
        <v>0.98375747128953028</v>
      </c>
      <c r="AK109" s="17">
        <f t="shared" si="38"/>
        <v>0.98375747128953028</v>
      </c>
      <c r="AL109" s="17">
        <f t="shared" si="38"/>
        <v>0.98375747128953028</v>
      </c>
      <c r="AO109" s="8">
        <f>ROW()</f>
        <v>109</v>
      </c>
    </row>
    <row r="110" spans="1:41" ht="13.9" customHeight="1" x14ac:dyDescent="0.2">
      <c r="B110" s="41" t="s">
        <v>29</v>
      </c>
      <c r="C110" s="41"/>
      <c r="H110">
        <f t="shared" si="24"/>
        <v>2020</v>
      </c>
      <c r="M110" s="84"/>
      <c r="P110" s="16">
        <f t="shared" si="26"/>
        <v>1</v>
      </c>
      <c r="Q110" s="16">
        <f t="shared" si="27"/>
        <v>1</v>
      </c>
      <c r="R110" s="17">
        <f t="shared" si="29"/>
        <v>1</v>
      </c>
      <c r="S110" s="17">
        <f t="shared" si="31"/>
        <v>1</v>
      </c>
      <c r="T110" s="17">
        <f t="shared" si="33"/>
        <v>1</v>
      </c>
      <c r="U110" s="17">
        <f t="shared" si="35"/>
        <v>1</v>
      </c>
      <c r="V110" s="17">
        <f t="shared" si="37"/>
        <v>1</v>
      </c>
      <c r="W110" s="17">
        <f t="shared" ref="W110:W124" si="39">(1+$W$67)^(-W86)</f>
        <v>1</v>
      </c>
      <c r="X110" s="17">
        <f>(1+$X$67)^(-X86)</f>
        <v>0.99833205171827599</v>
      </c>
      <c r="Y110" s="17">
        <f t="shared" ref="Y110:AL110" si="40">(1+$X$67)^(-Y86)</f>
        <v>0.9966668854880224</v>
      </c>
      <c r="Z110" s="17">
        <f t="shared" si="40"/>
        <v>0.99500449666892121</v>
      </c>
      <c r="AA110" s="17">
        <f t="shared" si="40"/>
        <v>0.99334488062839443</v>
      </c>
      <c r="AB110" s="17">
        <f t="shared" si="40"/>
        <v>0.9916880327415909</v>
      </c>
      <c r="AC110" s="17">
        <f t="shared" si="40"/>
        <v>0.99003394839137338</v>
      </c>
      <c r="AD110" s="17">
        <f t="shared" si="40"/>
        <v>0.98838262296830537</v>
      </c>
      <c r="AE110" s="17">
        <f t="shared" si="40"/>
        <v>0.98673405187063934</v>
      </c>
      <c r="AF110" s="17">
        <f t="shared" si="40"/>
        <v>0.98508823050430305</v>
      </c>
      <c r="AG110" s="17">
        <f t="shared" si="40"/>
        <v>0.9834451542828867</v>
      </c>
      <c r="AH110" s="17">
        <f t="shared" si="40"/>
        <v>0.9834451542828867</v>
      </c>
      <c r="AI110" s="17">
        <f t="shared" si="40"/>
        <v>0.9834451542828867</v>
      </c>
      <c r="AJ110" s="17">
        <f t="shared" si="40"/>
        <v>0.9834451542828867</v>
      </c>
      <c r="AK110" s="17">
        <f t="shared" si="40"/>
        <v>0.9834451542828867</v>
      </c>
      <c r="AL110" s="17">
        <f t="shared" si="40"/>
        <v>0.9834451542828867</v>
      </c>
      <c r="AO110" s="8">
        <f>ROW()</f>
        <v>110</v>
      </c>
    </row>
    <row r="111" spans="1:41" ht="13.9" customHeight="1" x14ac:dyDescent="0.2">
      <c r="B111" s="41" t="s">
        <v>29</v>
      </c>
      <c r="C111" s="41"/>
      <c r="H111">
        <f t="shared" si="24"/>
        <v>2021</v>
      </c>
      <c r="M111" s="84"/>
      <c r="P111" s="16">
        <f t="shared" si="26"/>
        <v>1</v>
      </c>
      <c r="Q111" s="16">
        <f t="shared" si="27"/>
        <v>1</v>
      </c>
      <c r="R111" s="17">
        <f t="shared" si="29"/>
        <v>1</v>
      </c>
      <c r="S111" s="17">
        <f t="shared" si="31"/>
        <v>1</v>
      </c>
      <c r="T111" s="17">
        <f t="shared" si="33"/>
        <v>1</v>
      </c>
      <c r="U111" s="17">
        <f t="shared" si="35"/>
        <v>1</v>
      </c>
      <c r="V111" s="17">
        <f t="shared" si="37"/>
        <v>1</v>
      </c>
      <c r="W111" s="17">
        <f t="shared" si="39"/>
        <v>1</v>
      </c>
      <c r="X111" s="17">
        <f>(1+$X$67)^(-X87)</f>
        <v>1</v>
      </c>
      <c r="Y111" s="17">
        <f>(1+$Y$67)^(-Y87)</f>
        <v>0.99829846101875752</v>
      </c>
      <c r="Z111" s="17">
        <f t="shared" ref="Z111:AL111" si="41">(1+$Y$67)^(-Z87)</f>
        <v>0.99659981727241986</v>
      </c>
      <c r="AA111" s="17">
        <f t="shared" si="41"/>
        <v>0.9949040638346317</v>
      </c>
      <c r="AB111" s="17">
        <f t="shared" si="41"/>
        <v>0.99321119578742068</v>
      </c>
      <c r="AC111" s="17">
        <f t="shared" si="41"/>
        <v>0.99152120822118195</v>
      </c>
      <c r="AD111" s="17">
        <f t="shared" si="41"/>
        <v>0.98983409623466512</v>
      </c>
      <c r="AE111" s="17">
        <f t="shared" si="41"/>
        <v>0.9881498549349591</v>
      </c>
      <c r="AF111" s="17">
        <f t="shared" si="41"/>
        <v>0.98646847943747817</v>
      </c>
      <c r="AG111" s="17">
        <f t="shared" si="41"/>
        <v>0.98478996486594839</v>
      </c>
      <c r="AH111" s="17">
        <f t="shared" si="41"/>
        <v>0.98311430635239261</v>
      </c>
      <c r="AI111" s="17">
        <f t="shared" si="41"/>
        <v>0.98311430635239261</v>
      </c>
      <c r="AJ111" s="17">
        <f t="shared" si="41"/>
        <v>0.98311430635239261</v>
      </c>
      <c r="AK111" s="17">
        <f t="shared" si="41"/>
        <v>0.98311430635239261</v>
      </c>
      <c r="AL111" s="17">
        <f t="shared" si="41"/>
        <v>0.98311430635239261</v>
      </c>
      <c r="AO111" s="8">
        <f>ROW()</f>
        <v>111</v>
      </c>
    </row>
    <row r="112" spans="1:41" ht="13.9" customHeight="1" x14ac:dyDescent="0.2">
      <c r="B112" s="41" t="s">
        <v>29</v>
      </c>
      <c r="C112" s="41"/>
      <c r="H112">
        <f t="shared" si="24"/>
        <v>2022</v>
      </c>
      <c r="M112" s="84"/>
      <c r="P112" s="16">
        <f t="shared" si="26"/>
        <v>1</v>
      </c>
      <c r="Q112" s="16">
        <f t="shared" si="27"/>
        <v>1</v>
      </c>
      <c r="R112" s="17">
        <f t="shared" si="29"/>
        <v>1</v>
      </c>
      <c r="S112" s="17">
        <f t="shared" si="31"/>
        <v>1</v>
      </c>
      <c r="T112" s="17">
        <f t="shared" si="33"/>
        <v>1</v>
      </c>
      <c r="U112" s="17">
        <f t="shared" si="35"/>
        <v>1</v>
      </c>
      <c r="V112" s="17">
        <f t="shared" si="37"/>
        <v>1</v>
      </c>
      <c r="W112" s="17">
        <f t="shared" si="39"/>
        <v>1</v>
      </c>
      <c r="X112" s="17">
        <f>(1+$X$67)^(-X88)</f>
        <v>1</v>
      </c>
      <c r="Y112" s="17">
        <f>(1+$Y$67)^(-Y88)</f>
        <v>1</v>
      </c>
      <c r="Z112" s="17">
        <f>(1+$Z$67)^(-Z88)</f>
        <v>0.99826291190977057</v>
      </c>
      <c r="AA112" s="17">
        <f t="shared" ref="AA112:AL112" si="42">(1+$Z$67)^(-AA88)</f>
        <v>0.99652884129457442</v>
      </c>
      <c r="AB112" s="17">
        <f t="shared" si="42"/>
        <v>0.99479778291279153</v>
      </c>
      <c r="AC112" s="17">
        <f t="shared" si="42"/>
        <v>0.99306973153190692</v>
      </c>
      <c r="AD112" s="17">
        <f t="shared" si="42"/>
        <v>0.99134468192849556</v>
      </c>
      <c r="AE112" s="17">
        <f t="shared" si="42"/>
        <v>0.98962262888820529</v>
      </c>
      <c r="AF112" s="17">
        <f t="shared" si="42"/>
        <v>0.98790356720574202</v>
      </c>
      <c r="AG112" s="17">
        <f t="shared" si="42"/>
        <v>0.98618749168485365</v>
      </c>
      <c r="AH112" s="17">
        <f t="shared" si="42"/>
        <v>0.98447439713831486</v>
      </c>
      <c r="AI112" s="17">
        <f t="shared" si="42"/>
        <v>0.98276427838790992</v>
      </c>
      <c r="AJ112" s="17">
        <f t="shared" si="42"/>
        <v>0.98276427838790992</v>
      </c>
      <c r="AK112" s="17">
        <f t="shared" si="42"/>
        <v>0.98276427838790992</v>
      </c>
      <c r="AL112" s="17">
        <f t="shared" si="42"/>
        <v>0.98276427838790992</v>
      </c>
      <c r="AO112" s="8">
        <f>ROW()</f>
        <v>112</v>
      </c>
    </row>
    <row r="113" spans="2:41" ht="13.9" customHeight="1" x14ac:dyDescent="0.2">
      <c r="B113" s="41" t="s">
        <v>29</v>
      </c>
      <c r="C113" s="41"/>
      <c r="H113">
        <f t="shared" si="24"/>
        <v>2023</v>
      </c>
      <c r="M113" s="84"/>
      <c r="P113" s="16">
        <f t="shared" si="26"/>
        <v>1</v>
      </c>
      <c r="Q113" s="16">
        <f t="shared" si="27"/>
        <v>1</v>
      </c>
      <c r="R113" s="17">
        <f t="shared" si="29"/>
        <v>1</v>
      </c>
      <c r="S113" s="17">
        <f t="shared" si="31"/>
        <v>1</v>
      </c>
      <c r="T113" s="17">
        <f t="shared" si="33"/>
        <v>1</v>
      </c>
      <c r="U113" s="17">
        <f t="shared" si="35"/>
        <v>1</v>
      </c>
      <c r="V113" s="17">
        <f t="shared" si="37"/>
        <v>1</v>
      </c>
      <c r="W113" s="17">
        <f t="shared" si="39"/>
        <v>1</v>
      </c>
      <c r="X113" s="17">
        <f>(1+$X$67)^(-X89)</f>
        <v>1</v>
      </c>
      <c r="Y113" s="17">
        <f>(1+$Y$67)^(-Y89)</f>
        <v>1</v>
      </c>
      <c r="Z113" s="17">
        <f>(1+$Z$67)^(-Z89)</f>
        <v>1</v>
      </c>
      <c r="AA113" s="17">
        <f>(1+$AA$67)^(-AA89)</f>
        <v>0.9982253409672609</v>
      </c>
      <c r="AB113" s="17">
        <f t="shared" ref="AB113:AL113" si="43">(1+$AA$67)^(-AB89)</f>
        <v>0.99645383134920451</v>
      </c>
      <c r="AC113" s="17">
        <f t="shared" si="43"/>
        <v>0.99468546555669324</v>
      </c>
      <c r="AD113" s="17">
        <f t="shared" si="43"/>
        <v>0.99292023801050888</v>
      </c>
      <c r="AE113" s="17">
        <f t="shared" si="43"/>
        <v>0.99115814314133421</v>
      </c>
      <c r="AF113" s="17">
        <f t="shared" si="43"/>
        <v>0.98939917538973565</v>
      </c>
      <c r="AG113" s="17">
        <f t="shared" si="43"/>
        <v>0.98764332920614573</v>
      </c>
      <c r="AH113" s="17">
        <f t="shared" si="43"/>
        <v>0.98589059905084553</v>
      </c>
      <c r="AI113" s="17">
        <f t="shared" si="43"/>
        <v>0.98414097939394751</v>
      </c>
      <c r="AJ113" s="17">
        <f t="shared" si="43"/>
        <v>0.98239446471537739</v>
      </c>
      <c r="AK113" s="17">
        <f t="shared" si="43"/>
        <v>0.98239446471537739</v>
      </c>
      <c r="AL113" s="17">
        <f t="shared" si="43"/>
        <v>0.98239446471537739</v>
      </c>
      <c r="AO113" s="8">
        <f>ROW()</f>
        <v>113</v>
      </c>
    </row>
    <row r="114" spans="2:41" ht="13.9" customHeight="1" x14ac:dyDescent="0.2">
      <c r="B114" s="41" t="s">
        <v>29</v>
      </c>
      <c r="C114" s="41"/>
      <c r="H114">
        <f t="shared" si="24"/>
        <v>2024</v>
      </c>
      <c r="M114" s="84"/>
      <c r="P114" s="16">
        <f t="shared" si="26"/>
        <v>1</v>
      </c>
      <c r="Q114" s="16">
        <f t="shared" si="27"/>
        <v>1</v>
      </c>
      <c r="R114" s="17">
        <f t="shared" si="29"/>
        <v>1</v>
      </c>
      <c r="S114" s="17">
        <f t="shared" si="31"/>
        <v>1</v>
      </c>
      <c r="T114" s="17">
        <f t="shared" si="33"/>
        <v>1</v>
      </c>
      <c r="U114" s="17">
        <f t="shared" si="35"/>
        <v>1</v>
      </c>
      <c r="V114" s="17">
        <f t="shared" si="37"/>
        <v>1</v>
      </c>
      <c r="W114" s="17">
        <f t="shared" si="39"/>
        <v>1</v>
      </c>
      <c r="X114" s="17">
        <f>(1+$X$67)^(-X90)</f>
        <v>1</v>
      </c>
      <c r="Y114" s="17">
        <f>(1+$Y$67)^(-Y90)</f>
        <v>1</v>
      </c>
      <c r="Z114" s="17">
        <f>(1+$Z$67)^(-Z90)</f>
        <v>1</v>
      </c>
      <c r="AA114" s="17">
        <f>(1+$AA$67)^(-AA90)</f>
        <v>1</v>
      </c>
      <c r="AB114" s="17">
        <f>(1+$AB$67)^(-AB90)</f>
        <v>0.99818569015885927</v>
      </c>
      <c r="AC114" s="17">
        <f t="shared" ref="AC114:AL114" si="44">(1+$AB$67)^(-AC90)</f>
        <v>0.99637467203791807</v>
      </c>
      <c r="AD114" s="17">
        <f t="shared" si="44"/>
        <v>0.994566939664976</v>
      </c>
      <c r="AE114" s="17">
        <f t="shared" si="44"/>
        <v>0.99276248707866865</v>
      </c>
      <c r="AF114" s="17">
        <f t="shared" si="44"/>
        <v>0.99096130832844631</v>
      </c>
      <c r="AG114" s="17">
        <f t="shared" si="44"/>
        <v>0.98916339747455628</v>
      </c>
      <c r="AH114" s="17">
        <f t="shared" si="44"/>
        <v>0.98736874858802204</v>
      </c>
      <c r="AI114" s="17">
        <f t="shared" si="44"/>
        <v>0.98557735575062388</v>
      </c>
      <c r="AJ114" s="17">
        <f t="shared" si="44"/>
        <v>0.98378921305487987</v>
      </c>
      <c r="AK114" s="17">
        <f t="shared" si="44"/>
        <v>0.98200431460402626</v>
      </c>
      <c r="AL114" s="17">
        <f t="shared" si="44"/>
        <v>0.98200431460402626</v>
      </c>
      <c r="AO114" s="8">
        <f>ROW()</f>
        <v>114</v>
      </c>
    </row>
    <row r="115" spans="2:41" ht="13.9" customHeight="1" x14ac:dyDescent="0.2">
      <c r="B115" s="41" t="s">
        <v>29</v>
      </c>
      <c r="H115">
        <f t="shared" si="24"/>
        <v>2025</v>
      </c>
      <c r="M115" s="84"/>
      <c r="P115" s="16">
        <f t="shared" si="26"/>
        <v>1</v>
      </c>
      <c r="Q115" s="16">
        <f t="shared" si="27"/>
        <v>1</v>
      </c>
      <c r="R115" s="17">
        <f t="shared" si="29"/>
        <v>1</v>
      </c>
      <c r="S115" s="17">
        <f t="shared" si="31"/>
        <v>1</v>
      </c>
      <c r="T115" s="17">
        <f t="shared" si="33"/>
        <v>1</v>
      </c>
      <c r="U115" s="17">
        <f t="shared" si="35"/>
        <v>1</v>
      </c>
      <c r="V115" s="17">
        <f t="shared" si="37"/>
        <v>1</v>
      </c>
      <c r="W115" s="17">
        <f t="shared" si="39"/>
        <v>1</v>
      </c>
      <c r="X115" s="17">
        <f t="shared" ref="X115:X124" si="45">(1+$X$67)^(-X91)</f>
        <v>1</v>
      </c>
      <c r="Y115" s="17">
        <f t="shared" ref="Y115:Y124" si="46">(1+$Y$67)^(-Y91)</f>
        <v>1</v>
      </c>
      <c r="Z115" s="17">
        <f t="shared" ref="Z115:Z124" si="47">(1+$Z$67)^(-Z91)</f>
        <v>1</v>
      </c>
      <c r="AA115" s="17">
        <f t="shared" ref="AA115:AA124" si="48">(1+$AA$67)^(-AA91)</f>
        <v>1</v>
      </c>
      <c r="AB115" s="17">
        <f t="shared" ref="AB115:AL124" si="49">(1+$AB$67)^(-AB91)</f>
        <v>1</v>
      </c>
      <c r="AC115" s="17">
        <f t="shared" si="49"/>
        <v>0.99818569015885927</v>
      </c>
      <c r="AD115" s="17">
        <f t="shared" si="49"/>
        <v>0.99637467203791807</v>
      </c>
      <c r="AE115" s="17">
        <f t="shared" si="49"/>
        <v>0.994566939664976</v>
      </c>
      <c r="AF115" s="17">
        <f t="shared" si="49"/>
        <v>0.99276248707866865</v>
      </c>
      <c r="AG115" s="17">
        <f t="shared" si="49"/>
        <v>0.99096130832844631</v>
      </c>
      <c r="AH115" s="17">
        <f t="shared" si="49"/>
        <v>0.98916339747455628</v>
      </c>
      <c r="AI115" s="17">
        <f t="shared" si="49"/>
        <v>0.98736874858802204</v>
      </c>
      <c r="AJ115" s="17">
        <f t="shared" si="49"/>
        <v>0.98557735575062388</v>
      </c>
      <c r="AK115" s="17">
        <f t="shared" si="49"/>
        <v>0.98378921305487987</v>
      </c>
      <c r="AL115" s="17">
        <f t="shared" si="49"/>
        <v>0.98200431460402626</v>
      </c>
      <c r="AO115" s="8">
        <f>ROW()</f>
        <v>115</v>
      </c>
    </row>
    <row r="116" spans="2:41" ht="13.9" customHeight="1" x14ac:dyDescent="0.2">
      <c r="B116" s="41" t="s">
        <v>29</v>
      </c>
      <c r="H116">
        <f t="shared" si="24"/>
        <v>2026</v>
      </c>
      <c r="M116" s="84"/>
      <c r="P116" s="16">
        <f t="shared" si="26"/>
        <v>1</v>
      </c>
      <c r="Q116" s="16">
        <f t="shared" si="27"/>
        <v>1</v>
      </c>
      <c r="R116" s="17">
        <f t="shared" si="29"/>
        <v>1</v>
      </c>
      <c r="S116" s="17">
        <f t="shared" si="31"/>
        <v>1</v>
      </c>
      <c r="T116" s="17">
        <f t="shared" si="33"/>
        <v>1</v>
      </c>
      <c r="U116" s="17">
        <f t="shared" si="35"/>
        <v>1</v>
      </c>
      <c r="V116" s="17">
        <f t="shared" si="37"/>
        <v>1</v>
      </c>
      <c r="W116" s="17">
        <f t="shared" si="39"/>
        <v>1</v>
      </c>
      <c r="X116" s="17">
        <f t="shared" si="45"/>
        <v>1</v>
      </c>
      <c r="Y116" s="17">
        <f t="shared" si="46"/>
        <v>1</v>
      </c>
      <c r="Z116" s="17">
        <f t="shared" si="47"/>
        <v>1</v>
      </c>
      <c r="AA116" s="17">
        <f t="shared" si="48"/>
        <v>1</v>
      </c>
      <c r="AB116" s="17">
        <f t="shared" si="49"/>
        <v>1</v>
      </c>
      <c r="AC116" s="17">
        <f t="shared" si="49"/>
        <v>1</v>
      </c>
      <c r="AD116" s="17">
        <f t="shared" si="49"/>
        <v>0.99818569015885927</v>
      </c>
      <c r="AE116" s="17">
        <f t="shared" si="49"/>
        <v>0.99637467203791807</v>
      </c>
      <c r="AF116" s="17">
        <f t="shared" si="49"/>
        <v>0.994566939664976</v>
      </c>
      <c r="AG116" s="17">
        <f t="shared" si="49"/>
        <v>0.99276248707866865</v>
      </c>
      <c r="AH116" s="17">
        <f t="shared" si="49"/>
        <v>0.99096130832844631</v>
      </c>
      <c r="AI116" s="17">
        <f t="shared" si="49"/>
        <v>0.98916339747455628</v>
      </c>
      <c r="AJ116" s="17">
        <f t="shared" si="49"/>
        <v>0.98736874858802204</v>
      </c>
      <c r="AK116" s="17">
        <f t="shared" si="49"/>
        <v>0.98557735575062388</v>
      </c>
      <c r="AL116" s="17">
        <f t="shared" si="49"/>
        <v>0.98378921305487987</v>
      </c>
      <c r="AO116" s="8">
        <f>ROW()</f>
        <v>116</v>
      </c>
    </row>
    <row r="117" spans="2:41" ht="13.9" customHeight="1" x14ac:dyDescent="0.2">
      <c r="B117" s="41" t="s">
        <v>29</v>
      </c>
      <c r="H117">
        <f t="shared" si="24"/>
        <v>2027</v>
      </c>
      <c r="M117" s="84"/>
      <c r="P117" s="16">
        <f t="shared" si="26"/>
        <v>1</v>
      </c>
      <c r="Q117" s="16">
        <f t="shared" si="27"/>
        <v>1</v>
      </c>
      <c r="R117" s="17">
        <f t="shared" si="29"/>
        <v>1</v>
      </c>
      <c r="S117" s="17">
        <f t="shared" si="31"/>
        <v>1</v>
      </c>
      <c r="T117" s="17">
        <f t="shared" si="33"/>
        <v>1</v>
      </c>
      <c r="U117" s="17">
        <f t="shared" si="35"/>
        <v>1</v>
      </c>
      <c r="V117" s="17">
        <f t="shared" si="37"/>
        <v>1</v>
      </c>
      <c r="W117" s="17">
        <f t="shared" si="39"/>
        <v>1</v>
      </c>
      <c r="X117" s="17">
        <f t="shared" si="45"/>
        <v>1</v>
      </c>
      <c r="Y117" s="17">
        <f t="shared" si="46"/>
        <v>1</v>
      </c>
      <c r="Z117" s="17">
        <f t="shared" si="47"/>
        <v>1</v>
      </c>
      <c r="AA117" s="17">
        <f t="shared" si="48"/>
        <v>1</v>
      </c>
      <c r="AB117" s="17">
        <f t="shared" si="49"/>
        <v>1</v>
      </c>
      <c r="AC117" s="17">
        <f t="shared" si="49"/>
        <v>1</v>
      </c>
      <c r="AD117" s="17">
        <f t="shared" si="49"/>
        <v>1</v>
      </c>
      <c r="AE117" s="17">
        <f t="shared" si="49"/>
        <v>0.99818569015885927</v>
      </c>
      <c r="AF117" s="17">
        <f t="shared" si="49"/>
        <v>0.99637467203791807</v>
      </c>
      <c r="AG117" s="17">
        <f t="shared" si="49"/>
        <v>0.994566939664976</v>
      </c>
      <c r="AH117" s="17">
        <f t="shared" si="49"/>
        <v>0.99276248707866865</v>
      </c>
      <c r="AI117" s="17">
        <f t="shared" si="49"/>
        <v>0.99096130832844631</v>
      </c>
      <c r="AJ117" s="17">
        <f t="shared" si="49"/>
        <v>0.98916339747455628</v>
      </c>
      <c r="AK117" s="17">
        <f t="shared" si="49"/>
        <v>0.98736874858802204</v>
      </c>
      <c r="AL117" s="17">
        <f t="shared" si="49"/>
        <v>0.98557735575062388</v>
      </c>
      <c r="AO117" s="8">
        <f>ROW()</f>
        <v>117</v>
      </c>
    </row>
    <row r="118" spans="2:41" ht="13.9" customHeight="1" x14ac:dyDescent="0.2">
      <c r="B118" s="41" t="s">
        <v>29</v>
      </c>
      <c r="H118">
        <f t="shared" si="24"/>
        <v>2028</v>
      </c>
      <c r="M118" s="84"/>
      <c r="P118" s="16">
        <f t="shared" si="26"/>
        <v>1</v>
      </c>
      <c r="Q118" s="16">
        <f t="shared" si="27"/>
        <v>1</v>
      </c>
      <c r="R118" s="17">
        <f t="shared" si="29"/>
        <v>1</v>
      </c>
      <c r="S118" s="17">
        <f t="shared" si="31"/>
        <v>1</v>
      </c>
      <c r="T118" s="17">
        <f t="shared" si="33"/>
        <v>1</v>
      </c>
      <c r="U118" s="17">
        <f t="shared" si="35"/>
        <v>1</v>
      </c>
      <c r="V118" s="17">
        <f t="shared" si="37"/>
        <v>1</v>
      </c>
      <c r="W118" s="17">
        <f t="shared" si="39"/>
        <v>1</v>
      </c>
      <c r="X118" s="17">
        <f t="shared" si="45"/>
        <v>1</v>
      </c>
      <c r="Y118" s="17">
        <f t="shared" si="46"/>
        <v>1</v>
      </c>
      <c r="Z118" s="17">
        <f t="shared" si="47"/>
        <v>1</v>
      </c>
      <c r="AA118" s="17">
        <f t="shared" si="48"/>
        <v>1</v>
      </c>
      <c r="AB118" s="17">
        <f t="shared" si="49"/>
        <v>1</v>
      </c>
      <c r="AC118" s="17">
        <f t="shared" si="49"/>
        <v>1</v>
      </c>
      <c r="AD118" s="17">
        <f t="shared" si="49"/>
        <v>1</v>
      </c>
      <c r="AE118" s="17">
        <f t="shared" si="49"/>
        <v>1</v>
      </c>
      <c r="AF118" s="17">
        <f t="shared" si="49"/>
        <v>0.99818569015885927</v>
      </c>
      <c r="AG118" s="17">
        <f t="shared" si="49"/>
        <v>0.99637467203791807</v>
      </c>
      <c r="AH118" s="17">
        <f t="shared" si="49"/>
        <v>0.994566939664976</v>
      </c>
      <c r="AI118" s="17">
        <f t="shared" si="49"/>
        <v>0.99276248707866865</v>
      </c>
      <c r="AJ118" s="17">
        <f t="shared" si="49"/>
        <v>0.99096130832844631</v>
      </c>
      <c r="AK118" s="17">
        <f t="shared" si="49"/>
        <v>0.98916339747455628</v>
      </c>
      <c r="AL118" s="17">
        <f t="shared" si="49"/>
        <v>0.98736874858802204</v>
      </c>
      <c r="AO118" s="8">
        <f>ROW()</f>
        <v>118</v>
      </c>
    </row>
    <row r="119" spans="2:41" ht="13.9" customHeight="1" x14ac:dyDescent="0.2">
      <c r="B119" s="41" t="s">
        <v>29</v>
      </c>
      <c r="H119">
        <f t="shared" si="24"/>
        <v>2029</v>
      </c>
      <c r="M119" s="84"/>
      <c r="P119" s="16">
        <f t="shared" si="26"/>
        <v>1</v>
      </c>
      <c r="Q119" s="16">
        <f t="shared" si="27"/>
        <v>1</v>
      </c>
      <c r="R119" s="17">
        <f t="shared" si="29"/>
        <v>1</v>
      </c>
      <c r="S119" s="17">
        <f t="shared" si="31"/>
        <v>1</v>
      </c>
      <c r="T119" s="17">
        <f t="shared" si="33"/>
        <v>1</v>
      </c>
      <c r="U119" s="17">
        <f t="shared" si="35"/>
        <v>1</v>
      </c>
      <c r="V119" s="17">
        <f t="shared" si="37"/>
        <v>1</v>
      </c>
      <c r="W119" s="17">
        <f t="shared" si="39"/>
        <v>1</v>
      </c>
      <c r="X119" s="17">
        <f t="shared" si="45"/>
        <v>1</v>
      </c>
      <c r="Y119" s="17">
        <f t="shared" si="46"/>
        <v>1</v>
      </c>
      <c r="Z119" s="17">
        <f t="shared" si="47"/>
        <v>1</v>
      </c>
      <c r="AA119" s="17">
        <f t="shared" si="48"/>
        <v>1</v>
      </c>
      <c r="AB119" s="17">
        <f t="shared" si="49"/>
        <v>1</v>
      </c>
      <c r="AC119" s="17">
        <f t="shared" si="49"/>
        <v>1</v>
      </c>
      <c r="AD119" s="17">
        <f t="shared" si="49"/>
        <v>1</v>
      </c>
      <c r="AE119" s="17">
        <f t="shared" si="49"/>
        <v>1</v>
      </c>
      <c r="AF119" s="17">
        <f t="shared" si="49"/>
        <v>1</v>
      </c>
      <c r="AG119" s="17">
        <f t="shared" si="49"/>
        <v>0.99818569015885927</v>
      </c>
      <c r="AH119" s="17">
        <f t="shared" si="49"/>
        <v>0.99637467203791807</v>
      </c>
      <c r="AI119" s="17">
        <f t="shared" si="49"/>
        <v>0.994566939664976</v>
      </c>
      <c r="AJ119" s="17">
        <f t="shared" si="49"/>
        <v>0.99276248707866865</v>
      </c>
      <c r="AK119" s="17">
        <f t="shared" si="49"/>
        <v>0.99096130832844631</v>
      </c>
      <c r="AL119" s="17">
        <f t="shared" si="49"/>
        <v>0.98916339747455628</v>
      </c>
      <c r="AO119" s="8">
        <f>ROW()</f>
        <v>119</v>
      </c>
    </row>
    <row r="120" spans="2:41" ht="13.9" customHeight="1" x14ac:dyDescent="0.2">
      <c r="B120" s="41" t="s">
        <v>29</v>
      </c>
      <c r="H120">
        <f t="shared" si="24"/>
        <v>2030</v>
      </c>
      <c r="M120" s="84"/>
      <c r="P120" s="16">
        <f t="shared" si="26"/>
        <v>1</v>
      </c>
      <c r="Q120" s="16">
        <f t="shared" si="27"/>
        <v>1</v>
      </c>
      <c r="R120" s="17">
        <f t="shared" si="29"/>
        <v>1</v>
      </c>
      <c r="S120" s="17">
        <f t="shared" si="31"/>
        <v>1</v>
      </c>
      <c r="T120" s="17">
        <f t="shared" si="33"/>
        <v>1</v>
      </c>
      <c r="U120" s="17">
        <f t="shared" si="35"/>
        <v>1</v>
      </c>
      <c r="V120" s="17">
        <f t="shared" si="37"/>
        <v>1</v>
      </c>
      <c r="W120" s="17">
        <f t="shared" si="39"/>
        <v>1</v>
      </c>
      <c r="X120" s="17">
        <f t="shared" si="45"/>
        <v>1</v>
      </c>
      <c r="Y120" s="17">
        <f t="shared" si="46"/>
        <v>1</v>
      </c>
      <c r="Z120" s="17">
        <f t="shared" si="47"/>
        <v>1</v>
      </c>
      <c r="AA120" s="17">
        <f t="shared" si="48"/>
        <v>1</v>
      </c>
      <c r="AB120" s="17">
        <f t="shared" si="49"/>
        <v>1</v>
      </c>
      <c r="AC120" s="17">
        <f t="shared" si="49"/>
        <v>1</v>
      </c>
      <c r="AD120" s="17">
        <f t="shared" si="49"/>
        <v>1</v>
      </c>
      <c r="AE120" s="17">
        <f t="shared" si="49"/>
        <v>1</v>
      </c>
      <c r="AF120" s="17">
        <f t="shared" si="49"/>
        <v>1</v>
      </c>
      <c r="AG120" s="17">
        <f t="shared" si="49"/>
        <v>1</v>
      </c>
      <c r="AH120" s="17">
        <f t="shared" si="49"/>
        <v>0.99818569015885927</v>
      </c>
      <c r="AI120" s="17">
        <f t="shared" si="49"/>
        <v>0.99637467203791807</v>
      </c>
      <c r="AJ120" s="17">
        <f t="shared" si="49"/>
        <v>0.994566939664976</v>
      </c>
      <c r="AK120" s="17">
        <f t="shared" si="49"/>
        <v>0.99276248707866865</v>
      </c>
      <c r="AL120" s="17">
        <f t="shared" si="49"/>
        <v>0.99096130832844631</v>
      </c>
      <c r="AO120" s="8">
        <f>ROW()</f>
        <v>120</v>
      </c>
    </row>
    <row r="121" spans="2:41" ht="13.9" customHeight="1" x14ac:dyDescent="0.2">
      <c r="B121" s="41" t="s">
        <v>29</v>
      </c>
      <c r="H121">
        <f t="shared" si="24"/>
        <v>2031</v>
      </c>
      <c r="M121" s="84"/>
      <c r="P121" s="16">
        <f t="shared" si="26"/>
        <v>1</v>
      </c>
      <c r="Q121" s="16">
        <f t="shared" si="27"/>
        <v>1</v>
      </c>
      <c r="R121" s="17">
        <f t="shared" si="29"/>
        <v>1</v>
      </c>
      <c r="S121" s="17">
        <f t="shared" si="31"/>
        <v>1</v>
      </c>
      <c r="T121" s="17">
        <f t="shared" si="33"/>
        <v>1</v>
      </c>
      <c r="U121" s="17">
        <f t="shared" si="35"/>
        <v>1</v>
      </c>
      <c r="V121" s="17">
        <f t="shared" si="37"/>
        <v>1</v>
      </c>
      <c r="W121" s="17">
        <f t="shared" si="39"/>
        <v>1</v>
      </c>
      <c r="X121" s="17">
        <f t="shared" si="45"/>
        <v>1</v>
      </c>
      <c r="Y121" s="17">
        <f t="shared" si="46"/>
        <v>1</v>
      </c>
      <c r="Z121" s="17">
        <f t="shared" si="47"/>
        <v>1</v>
      </c>
      <c r="AA121" s="17">
        <f t="shared" si="48"/>
        <v>1</v>
      </c>
      <c r="AB121" s="17">
        <f t="shared" si="49"/>
        <v>1</v>
      </c>
      <c r="AC121" s="17">
        <f t="shared" si="49"/>
        <v>1</v>
      </c>
      <c r="AD121" s="17">
        <f t="shared" si="49"/>
        <v>1</v>
      </c>
      <c r="AE121" s="17">
        <f t="shared" si="49"/>
        <v>1</v>
      </c>
      <c r="AF121" s="17">
        <f t="shared" si="49"/>
        <v>1</v>
      </c>
      <c r="AG121" s="17">
        <f t="shared" si="49"/>
        <v>1</v>
      </c>
      <c r="AH121" s="17">
        <f t="shared" si="49"/>
        <v>1</v>
      </c>
      <c r="AI121" s="17">
        <f t="shared" si="49"/>
        <v>0.99818569015885927</v>
      </c>
      <c r="AJ121" s="17">
        <f t="shared" si="49"/>
        <v>0.99637467203791807</v>
      </c>
      <c r="AK121" s="17">
        <f t="shared" si="49"/>
        <v>0.994566939664976</v>
      </c>
      <c r="AL121" s="17">
        <f t="shared" si="49"/>
        <v>0.99276248707866865</v>
      </c>
      <c r="AO121" s="8">
        <f>ROW()</f>
        <v>121</v>
      </c>
    </row>
    <row r="122" spans="2:41" ht="13.9" customHeight="1" x14ac:dyDescent="0.2">
      <c r="B122" s="41" t="s">
        <v>29</v>
      </c>
      <c r="H122">
        <f t="shared" si="24"/>
        <v>2032</v>
      </c>
      <c r="M122" s="84"/>
      <c r="P122" s="16">
        <f t="shared" si="26"/>
        <v>1</v>
      </c>
      <c r="Q122" s="16">
        <f t="shared" si="27"/>
        <v>1</v>
      </c>
      <c r="R122" s="17">
        <f t="shared" si="29"/>
        <v>1</v>
      </c>
      <c r="S122" s="17">
        <f t="shared" si="31"/>
        <v>1</v>
      </c>
      <c r="T122" s="17">
        <f t="shared" si="33"/>
        <v>1</v>
      </c>
      <c r="U122" s="17">
        <f t="shared" si="35"/>
        <v>1</v>
      </c>
      <c r="V122" s="17">
        <f t="shared" si="37"/>
        <v>1</v>
      </c>
      <c r="W122" s="17">
        <f t="shared" si="39"/>
        <v>1</v>
      </c>
      <c r="X122" s="17">
        <f t="shared" si="45"/>
        <v>1</v>
      </c>
      <c r="Y122" s="17">
        <f t="shared" si="46"/>
        <v>1</v>
      </c>
      <c r="Z122" s="17">
        <f t="shared" si="47"/>
        <v>1</v>
      </c>
      <c r="AA122" s="17">
        <f t="shared" si="48"/>
        <v>1</v>
      </c>
      <c r="AB122" s="17">
        <f t="shared" si="49"/>
        <v>1</v>
      </c>
      <c r="AC122" s="17">
        <f t="shared" si="49"/>
        <v>1</v>
      </c>
      <c r="AD122" s="17">
        <f t="shared" si="49"/>
        <v>1</v>
      </c>
      <c r="AE122" s="17">
        <f t="shared" si="49"/>
        <v>1</v>
      </c>
      <c r="AF122" s="17">
        <f t="shared" si="49"/>
        <v>1</v>
      </c>
      <c r="AG122" s="17">
        <f t="shared" si="49"/>
        <v>1</v>
      </c>
      <c r="AH122" s="17">
        <f t="shared" si="49"/>
        <v>1</v>
      </c>
      <c r="AI122" s="17">
        <f t="shared" si="49"/>
        <v>1</v>
      </c>
      <c r="AJ122" s="17">
        <f t="shared" si="49"/>
        <v>0.99818569015885927</v>
      </c>
      <c r="AK122" s="17">
        <f t="shared" si="49"/>
        <v>0.99637467203791807</v>
      </c>
      <c r="AL122" s="17">
        <f t="shared" si="49"/>
        <v>0.994566939664976</v>
      </c>
      <c r="AO122" s="8">
        <f>ROW()</f>
        <v>122</v>
      </c>
    </row>
    <row r="123" spans="2:41" ht="13.9" customHeight="1" x14ac:dyDescent="0.2">
      <c r="B123" s="41" t="s">
        <v>29</v>
      </c>
      <c r="H123">
        <f t="shared" si="24"/>
        <v>2033</v>
      </c>
      <c r="M123" s="84"/>
      <c r="P123" s="16">
        <f t="shared" si="26"/>
        <v>1</v>
      </c>
      <c r="Q123" s="16">
        <f t="shared" si="27"/>
        <v>1</v>
      </c>
      <c r="R123" s="17">
        <f t="shared" si="29"/>
        <v>1</v>
      </c>
      <c r="S123" s="17">
        <f t="shared" si="31"/>
        <v>1</v>
      </c>
      <c r="T123" s="17">
        <f t="shared" si="33"/>
        <v>1</v>
      </c>
      <c r="U123" s="17">
        <f t="shared" si="35"/>
        <v>1</v>
      </c>
      <c r="V123" s="17">
        <f t="shared" si="37"/>
        <v>1</v>
      </c>
      <c r="W123" s="17">
        <f t="shared" si="39"/>
        <v>1</v>
      </c>
      <c r="X123" s="17">
        <f t="shared" si="45"/>
        <v>1</v>
      </c>
      <c r="Y123" s="17">
        <f t="shared" si="46"/>
        <v>1</v>
      </c>
      <c r="Z123" s="17">
        <f t="shared" si="47"/>
        <v>1</v>
      </c>
      <c r="AA123" s="17">
        <f t="shared" si="48"/>
        <v>1</v>
      </c>
      <c r="AB123" s="17">
        <f t="shared" si="49"/>
        <v>1</v>
      </c>
      <c r="AC123" s="17">
        <f t="shared" si="49"/>
        <v>1</v>
      </c>
      <c r="AD123" s="17">
        <f t="shared" si="49"/>
        <v>1</v>
      </c>
      <c r="AE123" s="17">
        <f t="shared" si="49"/>
        <v>1</v>
      </c>
      <c r="AF123" s="17">
        <f t="shared" si="49"/>
        <v>1</v>
      </c>
      <c r="AG123" s="17">
        <f t="shared" si="49"/>
        <v>1</v>
      </c>
      <c r="AH123" s="17">
        <f t="shared" si="49"/>
        <v>1</v>
      </c>
      <c r="AI123" s="17">
        <f t="shared" si="49"/>
        <v>1</v>
      </c>
      <c r="AJ123" s="17">
        <f t="shared" si="49"/>
        <v>1</v>
      </c>
      <c r="AK123" s="17">
        <f t="shared" si="49"/>
        <v>0.99818569015885927</v>
      </c>
      <c r="AL123" s="17">
        <f t="shared" si="49"/>
        <v>0.99637467203791807</v>
      </c>
      <c r="AO123" s="8">
        <f>ROW()</f>
        <v>123</v>
      </c>
    </row>
    <row r="124" spans="2:41" ht="13.9" customHeight="1" x14ac:dyDescent="0.2">
      <c r="B124" s="41" t="s">
        <v>29</v>
      </c>
      <c r="H124">
        <f t="shared" si="24"/>
        <v>2034</v>
      </c>
      <c r="M124" s="84"/>
      <c r="P124" s="16">
        <f t="shared" si="26"/>
        <v>1</v>
      </c>
      <c r="Q124" s="16">
        <f t="shared" si="27"/>
        <v>1</v>
      </c>
      <c r="R124" s="17">
        <f t="shared" si="29"/>
        <v>1</v>
      </c>
      <c r="S124" s="17">
        <f t="shared" si="31"/>
        <v>1</v>
      </c>
      <c r="T124" s="17">
        <f t="shared" si="33"/>
        <v>1</v>
      </c>
      <c r="U124" s="17">
        <f t="shared" si="35"/>
        <v>1</v>
      </c>
      <c r="V124" s="17">
        <f t="shared" si="37"/>
        <v>1</v>
      </c>
      <c r="W124" s="17">
        <f t="shared" si="39"/>
        <v>1</v>
      </c>
      <c r="X124" s="17">
        <f t="shared" si="45"/>
        <v>1</v>
      </c>
      <c r="Y124" s="17">
        <f t="shared" si="46"/>
        <v>1</v>
      </c>
      <c r="Z124" s="17">
        <f t="shared" si="47"/>
        <v>1</v>
      </c>
      <c r="AA124" s="17">
        <f t="shared" si="48"/>
        <v>1</v>
      </c>
      <c r="AB124" s="17">
        <f t="shared" si="49"/>
        <v>1</v>
      </c>
      <c r="AC124" s="17">
        <f t="shared" si="49"/>
        <v>1</v>
      </c>
      <c r="AD124" s="17">
        <f t="shared" si="49"/>
        <v>1</v>
      </c>
      <c r="AE124" s="17">
        <f t="shared" si="49"/>
        <v>1</v>
      </c>
      <c r="AF124" s="17">
        <f t="shared" si="49"/>
        <v>1</v>
      </c>
      <c r="AG124" s="17">
        <f t="shared" si="49"/>
        <v>1</v>
      </c>
      <c r="AH124" s="17">
        <f t="shared" si="49"/>
        <v>1</v>
      </c>
      <c r="AI124" s="17">
        <f t="shared" si="49"/>
        <v>1</v>
      </c>
      <c r="AJ124" s="17">
        <f t="shared" si="49"/>
        <v>1</v>
      </c>
      <c r="AK124" s="17">
        <f t="shared" si="49"/>
        <v>1</v>
      </c>
      <c r="AL124" s="17">
        <f t="shared" si="49"/>
        <v>0.99818569015885927</v>
      </c>
      <c r="AO124" s="8">
        <f>ROW()</f>
        <v>124</v>
      </c>
    </row>
    <row r="125" spans="2:41" ht="13.9" customHeight="1" x14ac:dyDescent="0.2">
      <c r="M125" s="84"/>
      <c r="AO125" s="8">
        <f>ROW()</f>
        <v>125</v>
      </c>
    </row>
    <row r="126" spans="2:41" ht="13.9" customHeight="1" x14ac:dyDescent="0.2">
      <c r="B126" s="42" t="s">
        <v>593</v>
      </c>
      <c r="M126" s="84"/>
      <c r="P126" s="39">
        <f t="shared" ref="P126:AL126" si="50">PRODUCT(P102:P124)-1</f>
        <v>-1.0230396163106281E-2</v>
      </c>
      <c r="Q126" s="39">
        <f t="shared" si="50"/>
        <v>-2.1807648517689127E-2</v>
      </c>
      <c r="R126" s="39">
        <f t="shared" si="50"/>
        <v>-3.4703060726671842E-2</v>
      </c>
      <c r="S126" s="39">
        <f t="shared" si="50"/>
        <v>-4.8882966488250079E-2</v>
      </c>
      <c r="T126" s="39">
        <f t="shared" si="50"/>
        <v>-6.4308812466135623E-2</v>
      </c>
      <c r="U126" s="39">
        <f t="shared" si="50"/>
        <v>-8.0937261913162528E-2</v>
      </c>
      <c r="V126" s="39">
        <f t="shared" si="50"/>
        <v>-9.8720318753629521E-2</v>
      </c>
      <c r="W126" s="39">
        <f t="shared" si="50"/>
        <v>-0.11760547195889781</v>
      </c>
      <c r="X126" s="39">
        <f t="shared" si="50"/>
        <v>-0.13753586014629837</v>
      </c>
      <c r="Y126" s="39">
        <f t="shared" si="50"/>
        <v>-0.15845045645033551</v>
      </c>
      <c r="Z126" s="39">
        <f t="shared" si="50"/>
        <v>-0.17181157820024773</v>
      </c>
      <c r="AA126" s="39">
        <f t="shared" si="50"/>
        <v>-0.18519971303967242</v>
      </c>
      <c r="AB126" s="39">
        <f t="shared" si="50"/>
        <v>-0.1986208933609771</v>
      </c>
      <c r="AC126" s="39">
        <f t="shared" si="50"/>
        <v>-0.21204787114594792</v>
      </c>
      <c r="AD126" s="39">
        <f t="shared" si="50"/>
        <v>-0.22545359735815396</v>
      </c>
      <c r="AE126" s="39">
        <f t="shared" si="50"/>
        <v>-0.23881127083968723</v>
      </c>
      <c r="AF126" s="39">
        <f t="shared" si="50"/>
        <v>-0.25209438382688598</v>
      </c>
      <c r="AG126" s="39">
        <f t="shared" si="50"/>
        <v>-0.26527676375329923</v>
      </c>
      <c r="AH126" s="39">
        <f t="shared" si="50"/>
        <v>-0.27833261100303608</v>
      </c>
      <c r="AI126" s="39">
        <f t="shared" si="50"/>
        <v>-0.29123653227168977</v>
      </c>
      <c r="AJ126" s="39">
        <f t="shared" si="50"/>
        <v>-0.30396356918509315</v>
      </c>
      <c r="AK126" s="39">
        <f t="shared" si="50"/>
        <v>-0.31648922181817474</v>
      </c>
      <c r="AL126" s="39">
        <f t="shared" si="50"/>
        <v>-0.32878946674709209</v>
      </c>
      <c r="AO126" s="8">
        <f>ROW()</f>
        <v>126</v>
      </c>
    </row>
    <row r="127" spans="2:41" ht="13.9" customHeight="1" x14ac:dyDescent="0.2">
      <c r="M127" s="84"/>
      <c r="AO127" s="8">
        <f>ROW()</f>
        <v>127</v>
      </c>
    </row>
    <row r="128" spans="2:41" ht="13.9" customHeight="1" x14ac:dyDescent="0.2">
      <c r="B128" s="9" t="s">
        <v>215</v>
      </c>
      <c r="D128" t="s">
        <v>147</v>
      </c>
      <c r="M128" s="84"/>
      <c r="AO128" s="8">
        <f>ROW()</f>
        <v>128</v>
      </c>
    </row>
    <row r="129" spans="1:41" ht="13.9" customHeight="1" x14ac:dyDescent="0.2">
      <c r="M129" s="84"/>
      <c r="AO129" s="8">
        <f>ROW()</f>
        <v>129</v>
      </c>
    </row>
    <row r="130" spans="1:41" ht="13.9" customHeight="1" x14ac:dyDescent="0.2">
      <c r="B130" s="456" t="s">
        <v>179</v>
      </c>
      <c r="C130" s="456"/>
      <c r="D130" s="456"/>
      <c r="E130" s="456"/>
      <c r="F130" s="456"/>
      <c r="G130" s="456"/>
      <c r="H130" s="456"/>
      <c r="I130" s="69"/>
      <c r="J130" s="69"/>
      <c r="M130" s="84"/>
      <c r="AO130" s="8">
        <f>ROW()</f>
        <v>130</v>
      </c>
    </row>
    <row r="131" spans="1:41" ht="13.9" customHeight="1" x14ac:dyDescent="0.2">
      <c r="B131" s="456"/>
      <c r="C131" s="456"/>
      <c r="D131" s="456"/>
      <c r="E131" s="456"/>
      <c r="F131" s="456"/>
      <c r="G131" s="456"/>
      <c r="H131" s="456"/>
      <c r="I131" s="69"/>
      <c r="J131" s="69"/>
      <c r="M131" s="84"/>
      <c r="AO131" s="8">
        <f>ROW()</f>
        <v>131</v>
      </c>
    </row>
    <row r="132" spans="1:41" ht="13.9" customHeight="1" x14ac:dyDescent="0.2">
      <c r="M132" s="84"/>
      <c r="AO132" s="8">
        <f>ROW()</f>
        <v>132</v>
      </c>
    </row>
    <row r="133" spans="1:41" ht="13.9" customHeight="1" x14ac:dyDescent="0.2">
      <c r="B133" s="14" t="s">
        <v>218</v>
      </c>
      <c r="F133" s="13"/>
      <c r="G133" s="13">
        <v>2020</v>
      </c>
      <c r="M133" s="84"/>
      <c r="AO133" s="8">
        <f>ROW()</f>
        <v>133</v>
      </c>
    </row>
    <row r="134" spans="1:41" ht="13.9" customHeight="1" x14ac:dyDescent="0.2">
      <c r="M134" s="84"/>
      <c r="AO134" s="8">
        <f>ROW()</f>
        <v>134</v>
      </c>
    </row>
    <row r="135" spans="1:41" ht="13.9" customHeight="1" x14ac:dyDescent="0.2">
      <c r="A135" s="14"/>
      <c r="B135" t="s">
        <v>227</v>
      </c>
      <c r="G135" s="47">
        <f>AB42</f>
        <v>24501.095548182646</v>
      </c>
      <c r="M135" s="84"/>
      <c r="AO135" s="8">
        <f>ROW()</f>
        <v>135</v>
      </c>
    </row>
    <row r="136" spans="1:41" ht="13.9" customHeight="1" x14ac:dyDescent="0.2">
      <c r="B136" t="s">
        <v>228</v>
      </c>
      <c r="G136" s="47">
        <f>AB59</f>
        <v>19634.666062079948</v>
      </c>
      <c r="M136" s="84"/>
      <c r="AO136" s="8">
        <f>ROW()</f>
        <v>136</v>
      </c>
    </row>
    <row r="137" spans="1:41" s="14" customFormat="1" ht="13.9" customHeight="1" x14ac:dyDescent="0.2">
      <c r="A137"/>
      <c r="B137" s="14" t="s">
        <v>10</v>
      </c>
      <c r="G137" s="48">
        <f>G136/G135</f>
        <v>0.8013791066390229</v>
      </c>
      <c r="M137" s="209"/>
      <c r="N137" s="209"/>
      <c r="O137" s="209"/>
      <c r="AO137" s="8">
        <f>ROW()</f>
        <v>137</v>
      </c>
    </row>
    <row r="138" spans="1:41" ht="13.9" customHeight="1" x14ac:dyDescent="0.2">
      <c r="M138" s="84"/>
      <c r="AO138" s="8">
        <f>ROW()</f>
        <v>138</v>
      </c>
    </row>
    <row r="139" spans="1:41" ht="13.9" customHeight="1" x14ac:dyDescent="0.2">
      <c r="A139" s="14"/>
      <c r="B139" t="s">
        <v>0</v>
      </c>
      <c r="G139" s="23">
        <f>K55</f>
        <v>21.098238491092783</v>
      </c>
      <c r="M139" s="84"/>
      <c r="AO139" s="8">
        <f>ROW()</f>
        <v>139</v>
      </c>
    </row>
    <row r="140" spans="1:41" ht="13.9" customHeight="1" x14ac:dyDescent="0.2">
      <c r="B140" t="s">
        <v>1</v>
      </c>
      <c r="G140" s="23">
        <f>AB55</f>
        <v>20.966090848816229</v>
      </c>
      <c r="M140" s="84"/>
      <c r="AO140" s="8">
        <f>ROW()</f>
        <v>140</v>
      </c>
    </row>
    <row r="141" spans="1:41" s="14" customFormat="1" ht="13.9" customHeight="1" x14ac:dyDescent="0.2">
      <c r="A141"/>
      <c r="B141" s="14" t="s">
        <v>10</v>
      </c>
      <c r="G141" s="48">
        <f>G140/G139</f>
        <v>0.99373655566874253</v>
      </c>
      <c r="M141" s="209"/>
      <c r="N141" s="209"/>
      <c r="O141" s="209"/>
      <c r="AO141" s="8">
        <f>ROW()</f>
        <v>141</v>
      </c>
    </row>
    <row r="142" spans="1:41" ht="13.9" customHeight="1" x14ac:dyDescent="0.2">
      <c r="G142" s="23"/>
      <c r="M142" s="84"/>
      <c r="AO142" s="8">
        <f>ROW()</f>
        <v>142</v>
      </c>
    </row>
    <row r="143" spans="1:41" ht="13.9" customHeight="1" x14ac:dyDescent="0.2">
      <c r="B143" s="3" t="s">
        <v>300</v>
      </c>
      <c r="G143" s="23"/>
      <c r="M143" s="84"/>
      <c r="AO143" s="8">
        <f>ROW()</f>
        <v>143</v>
      </c>
    </row>
    <row r="144" spans="1:41" ht="13.9" customHeight="1" x14ac:dyDescent="0.2">
      <c r="A144" s="14"/>
      <c r="B144" t="s">
        <v>220</v>
      </c>
      <c r="G144" s="23">
        <f>AB46</f>
        <v>234.43535472499281</v>
      </c>
      <c r="M144" s="84"/>
      <c r="AO144" s="8">
        <f>ROW()</f>
        <v>144</v>
      </c>
    </row>
    <row r="145" spans="1:41" ht="13.9" customHeight="1" x14ac:dyDescent="0.2">
      <c r="A145" s="14"/>
      <c r="B145" t="s">
        <v>222</v>
      </c>
      <c r="G145" s="23">
        <f>AB60</f>
        <v>186.69487185657007</v>
      </c>
      <c r="M145" s="84"/>
      <c r="AO145" s="8">
        <f>ROW()</f>
        <v>145</v>
      </c>
    </row>
    <row r="146" spans="1:41" ht="13.9" customHeight="1" x14ac:dyDescent="0.2">
      <c r="A146" s="14"/>
      <c r="B146" s="14" t="s">
        <v>10</v>
      </c>
      <c r="C146" s="14"/>
      <c r="D146" s="14"/>
      <c r="E146" s="14"/>
      <c r="F146" s="14"/>
      <c r="G146" s="68">
        <f>G145/G144</f>
        <v>0.79635971321635646</v>
      </c>
      <c r="M146" s="84"/>
      <c r="AO146" s="8">
        <f>ROW()</f>
        <v>146</v>
      </c>
    </row>
    <row r="147" spans="1:41" ht="13.9" customHeight="1" x14ac:dyDescent="0.2">
      <c r="G147" s="23"/>
      <c r="M147" s="84"/>
      <c r="AO147" s="8">
        <f>ROW()</f>
        <v>147</v>
      </c>
    </row>
    <row r="148" spans="1:41" ht="13.9" customHeight="1" x14ac:dyDescent="0.2">
      <c r="B148" s="14" t="s">
        <v>9</v>
      </c>
      <c r="C148" s="14"/>
      <c r="D148" s="14"/>
      <c r="E148" s="14"/>
      <c r="F148" s="14"/>
      <c r="G148" s="68">
        <f>G141*G137</f>
        <v>0.79635971321635657</v>
      </c>
      <c r="M148" s="84"/>
      <c r="AO148" s="8">
        <f>ROW()</f>
        <v>148</v>
      </c>
    </row>
    <row r="149" spans="1:41" ht="13.9" customHeight="1" x14ac:dyDescent="0.2">
      <c r="G149" s="23"/>
      <c r="M149" s="84"/>
      <c r="AO149" s="8">
        <f>ROW()</f>
        <v>149</v>
      </c>
    </row>
    <row r="150" spans="1:41" ht="13.9" customHeight="1" x14ac:dyDescent="0.2">
      <c r="B150" t="s">
        <v>223</v>
      </c>
      <c r="G150" s="23"/>
      <c r="M150" s="84"/>
      <c r="AO150" s="8">
        <f>ROW()</f>
        <v>150</v>
      </c>
    </row>
    <row r="151" spans="1:41" ht="13.9" customHeight="1" x14ac:dyDescent="0.2">
      <c r="B151" t="s">
        <v>224</v>
      </c>
      <c r="G151" s="7">
        <f>(1-G137)/(1-G141)</f>
        <v>31.711129349352934</v>
      </c>
      <c r="M151" s="84"/>
      <c r="AO151" s="8">
        <f>ROW()</f>
        <v>151</v>
      </c>
    </row>
    <row r="152" spans="1:41" ht="13.9" customHeight="1" x14ac:dyDescent="0.2">
      <c r="M152" s="84"/>
      <c r="AO152" s="8">
        <f>ROW()</f>
        <v>152</v>
      </c>
    </row>
    <row r="153" spans="1:41" ht="13.9" customHeight="1" x14ac:dyDescent="0.2">
      <c r="B153" s="49" t="s">
        <v>225</v>
      </c>
      <c r="C153" s="50"/>
      <c r="D153" s="50"/>
      <c r="E153" s="50"/>
      <c r="F153" s="50"/>
      <c r="G153" s="51">
        <f>G151/(1+G151)</f>
        <v>0.96942936487089593</v>
      </c>
      <c r="M153" s="84"/>
      <c r="AO153" s="8">
        <f>ROW()</f>
        <v>153</v>
      </c>
    </row>
    <row r="154" spans="1:41" ht="13.9" customHeight="1" x14ac:dyDescent="0.2">
      <c r="B154" s="52" t="s">
        <v>226</v>
      </c>
      <c r="C154" s="53"/>
      <c r="D154" s="53"/>
      <c r="E154" s="53"/>
      <c r="F154" s="53"/>
      <c r="G154" s="54">
        <f>1-G153</f>
        <v>3.0570635129104073E-2</v>
      </c>
      <c r="M154" s="84"/>
      <c r="AO154" s="8">
        <f>ROW()</f>
        <v>154</v>
      </c>
    </row>
    <row r="155" spans="1:41" ht="13.9" customHeight="1" x14ac:dyDescent="0.2">
      <c r="M155" s="84"/>
      <c r="AO155" s="8">
        <f>ROW()</f>
        <v>155</v>
      </c>
    </row>
    <row r="156" spans="1:41" ht="13.9" customHeight="1" x14ac:dyDescent="0.2">
      <c r="M156" s="84"/>
      <c r="AO156" s="8">
        <f>ROW()</f>
        <v>156</v>
      </c>
    </row>
    <row r="157" spans="1:41" ht="13.9" customHeight="1" x14ac:dyDescent="0.2">
      <c r="M157" s="84"/>
      <c r="AO157" s="8">
        <f>ROW()</f>
        <v>157</v>
      </c>
    </row>
    <row r="158" spans="1:41" ht="13.9" customHeight="1" x14ac:dyDescent="0.2">
      <c r="M158" s="84"/>
      <c r="AO158" s="8">
        <f>ROW()</f>
        <v>158</v>
      </c>
    </row>
    <row r="159" spans="1:41" ht="13.9" customHeight="1" x14ac:dyDescent="0.2">
      <c r="M159" s="84"/>
    </row>
    <row r="160" spans="1:41" ht="13.9" customHeight="1" x14ac:dyDescent="0.2">
      <c r="M160" s="84"/>
    </row>
    <row r="161" spans="13:13" ht="13.9" customHeight="1" x14ac:dyDescent="0.2">
      <c r="M161" s="84"/>
    </row>
    <row r="162" spans="13:13" ht="13.9" customHeight="1" x14ac:dyDescent="0.2">
      <c r="M162" s="84"/>
    </row>
    <row r="163" spans="13:13" ht="13.9" customHeight="1" x14ac:dyDescent="0.2">
      <c r="M163" s="84"/>
    </row>
    <row r="164" spans="13:13" ht="13.9" customHeight="1" x14ac:dyDescent="0.2">
      <c r="M164" s="84"/>
    </row>
    <row r="165" spans="13:13" ht="13.9" customHeight="1" x14ac:dyDescent="0.2">
      <c r="M165" s="84"/>
    </row>
    <row r="166" spans="13:13" ht="13.9" customHeight="1" x14ac:dyDescent="0.2">
      <c r="M166" s="84"/>
    </row>
    <row r="167" spans="13:13" ht="13.9" customHeight="1" x14ac:dyDescent="0.2">
      <c r="M167" s="84"/>
    </row>
    <row r="168" spans="13:13" ht="13.9" customHeight="1" x14ac:dyDescent="0.2">
      <c r="M168" s="84"/>
    </row>
    <row r="169" spans="13:13" ht="13.9" customHeight="1" x14ac:dyDescent="0.2">
      <c r="M169" s="84"/>
    </row>
    <row r="170" spans="13:13" ht="13.9" customHeight="1" x14ac:dyDescent="0.2">
      <c r="M170" s="84"/>
    </row>
    <row r="171" spans="13:13" ht="13.9" customHeight="1" x14ac:dyDescent="0.2">
      <c r="M171" s="84"/>
    </row>
    <row r="172" spans="13:13" ht="13.9" customHeight="1" x14ac:dyDescent="0.2">
      <c r="M172" s="84"/>
    </row>
    <row r="173" spans="13:13" ht="13.9" customHeight="1" x14ac:dyDescent="0.2">
      <c r="M173" s="84"/>
    </row>
    <row r="174" spans="13:13" ht="13.9" customHeight="1" x14ac:dyDescent="0.2">
      <c r="M174" s="84"/>
    </row>
    <row r="175" spans="13:13" ht="13.9" customHeight="1" x14ac:dyDescent="0.2">
      <c r="M175" s="84"/>
    </row>
    <row r="176" spans="13:13" ht="13.9" customHeight="1" x14ac:dyDescent="0.2">
      <c r="M176" s="84"/>
    </row>
    <row r="177" spans="13:13" ht="13.9" customHeight="1" x14ac:dyDescent="0.2">
      <c r="M177" s="84"/>
    </row>
    <row r="178" spans="13:13" ht="13.9" customHeight="1" x14ac:dyDescent="0.2">
      <c r="M178" s="84"/>
    </row>
    <row r="179" spans="13:13" ht="13.9" customHeight="1" x14ac:dyDescent="0.2">
      <c r="M179" s="84"/>
    </row>
    <row r="180" spans="13:13" ht="13.9" customHeight="1" x14ac:dyDescent="0.2">
      <c r="M180" s="84"/>
    </row>
    <row r="181" spans="13:13" ht="13.9" customHeight="1" x14ac:dyDescent="0.2">
      <c r="M181" s="84"/>
    </row>
    <row r="182" spans="13:13" ht="13.9" customHeight="1" x14ac:dyDescent="0.2">
      <c r="M182" s="84"/>
    </row>
    <row r="183" spans="13:13" ht="13.9" customHeight="1" x14ac:dyDescent="0.2">
      <c r="M183" s="84"/>
    </row>
    <row r="184" spans="13:13" ht="13.9" customHeight="1" x14ac:dyDescent="0.2">
      <c r="M184" s="84"/>
    </row>
    <row r="185" spans="13:13" ht="13.9" customHeight="1" x14ac:dyDescent="0.2">
      <c r="M185" s="84"/>
    </row>
    <row r="186" spans="13:13" ht="13.9" customHeight="1" x14ac:dyDescent="0.2">
      <c r="M186" s="84"/>
    </row>
    <row r="187" spans="13:13" ht="13.9" customHeight="1" x14ac:dyDescent="0.2">
      <c r="M187" s="84"/>
    </row>
    <row r="188" spans="13:13" ht="13.9" customHeight="1" x14ac:dyDescent="0.2">
      <c r="M188" s="84"/>
    </row>
    <row r="189" spans="13:13" ht="13.9" customHeight="1" x14ac:dyDescent="0.2">
      <c r="M189" s="84"/>
    </row>
    <row r="190" spans="13:13" ht="13.9" customHeight="1" x14ac:dyDescent="0.2">
      <c r="M190" s="84"/>
    </row>
    <row r="191" spans="13:13" ht="13.9" customHeight="1" x14ac:dyDescent="0.2">
      <c r="M191" s="84"/>
    </row>
    <row r="192" spans="13:13" ht="13.9" customHeight="1" x14ac:dyDescent="0.2">
      <c r="M192" s="84"/>
    </row>
    <row r="193" spans="13:13" ht="13.9" customHeight="1" x14ac:dyDescent="0.2">
      <c r="M193" s="84"/>
    </row>
    <row r="194" spans="13:13" ht="13.9" customHeight="1" x14ac:dyDescent="0.2">
      <c r="M194" s="84"/>
    </row>
    <row r="195" spans="13:13" ht="13.9" customHeight="1" x14ac:dyDescent="0.2">
      <c r="M195" s="84"/>
    </row>
    <row r="196" spans="13:13" ht="13.9" customHeight="1" x14ac:dyDescent="0.2">
      <c r="M196" s="84"/>
    </row>
    <row r="197" spans="13:13" ht="13.9" customHeight="1" x14ac:dyDescent="0.2">
      <c r="M197" s="84"/>
    </row>
    <row r="198" spans="13:13" ht="13.9" customHeight="1" x14ac:dyDescent="0.2">
      <c r="M198" s="84"/>
    </row>
    <row r="199" spans="13:13" ht="13.9" customHeight="1" x14ac:dyDescent="0.2">
      <c r="M199" s="84"/>
    </row>
    <row r="200" spans="13:13" ht="13.9" customHeight="1" x14ac:dyDescent="0.2">
      <c r="M200" s="84"/>
    </row>
    <row r="201" spans="13:13" ht="13.9" customHeight="1" x14ac:dyDescent="0.2">
      <c r="M201" s="84"/>
    </row>
    <row r="202" spans="13:13" ht="13.9" customHeight="1" x14ac:dyDescent="0.2">
      <c r="M202" s="84"/>
    </row>
    <row r="203" spans="13:13" ht="13.9" customHeight="1" x14ac:dyDescent="0.2">
      <c r="M203" s="84"/>
    </row>
    <row r="204" spans="13:13" ht="13.9" customHeight="1" x14ac:dyDescent="0.2">
      <c r="M204" s="84"/>
    </row>
    <row r="205" spans="13:13" ht="13.9" customHeight="1" x14ac:dyDescent="0.2">
      <c r="M205" s="84"/>
    </row>
    <row r="206" spans="13:13" ht="13.9" customHeight="1" x14ac:dyDescent="0.2">
      <c r="M206" s="84"/>
    </row>
    <row r="207" spans="13:13" ht="13.9" customHeight="1" x14ac:dyDescent="0.2">
      <c r="M207" s="84"/>
    </row>
    <row r="208" spans="13:13" ht="13.9" customHeight="1" x14ac:dyDescent="0.2">
      <c r="M208" s="84"/>
    </row>
    <row r="209" spans="13:13" ht="13.9" customHeight="1" x14ac:dyDescent="0.2">
      <c r="M209" s="84"/>
    </row>
    <row r="210" spans="13:13" ht="13.9" customHeight="1" x14ac:dyDescent="0.2">
      <c r="M210" s="84"/>
    </row>
    <row r="211" spans="13:13" ht="13.9" customHeight="1" x14ac:dyDescent="0.2">
      <c r="M211" s="84"/>
    </row>
    <row r="212" spans="13:13" ht="13.9" customHeight="1" x14ac:dyDescent="0.2">
      <c r="M212" s="84"/>
    </row>
    <row r="213" spans="13:13" ht="13.9" customHeight="1" x14ac:dyDescent="0.2">
      <c r="M213" s="84"/>
    </row>
    <row r="214" spans="13:13" ht="13.9" customHeight="1" x14ac:dyDescent="0.2">
      <c r="M214" s="84"/>
    </row>
    <row r="215" spans="13:13" ht="13.9" customHeight="1" x14ac:dyDescent="0.2">
      <c r="M215" s="84"/>
    </row>
    <row r="216" spans="13:13" ht="13.9" customHeight="1" x14ac:dyDescent="0.2">
      <c r="M216" s="84"/>
    </row>
    <row r="217" spans="13:13" ht="13.9" customHeight="1" x14ac:dyDescent="0.2">
      <c r="M217" s="84"/>
    </row>
    <row r="218" spans="13:13" ht="13.9" customHeight="1" x14ac:dyDescent="0.2">
      <c r="M218" s="84"/>
    </row>
    <row r="219" spans="13:13" ht="13.9" customHeight="1" x14ac:dyDescent="0.2">
      <c r="M219" s="84"/>
    </row>
    <row r="220" spans="13:13" ht="13.9" customHeight="1" x14ac:dyDescent="0.2">
      <c r="M220" s="84"/>
    </row>
    <row r="221" spans="13:13" ht="13.9" customHeight="1" x14ac:dyDescent="0.2">
      <c r="M221" s="84"/>
    </row>
    <row r="222" spans="13:13" ht="13.9" customHeight="1" x14ac:dyDescent="0.2">
      <c r="M222" s="84"/>
    </row>
    <row r="223" spans="13:13" ht="13.9" customHeight="1" x14ac:dyDescent="0.2">
      <c r="M223" s="84"/>
    </row>
    <row r="224" spans="13:13" ht="13.9" customHeight="1" x14ac:dyDescent="0.2">
      <c r="M224" s="84"/>
    </row>
    <row r="225" spans="13:13" ht="13.9" customHeight="1" x14ac:dyDescent="0.2">
      <c r="M225" s="84"/>
    </row>
    <row r="226" spans="13:13" ht="13.9" customHeight="1" x14ac:dyDescent="0.2">
      <c r="M226" s="84"/>
    </row>
    <row r="227" spans="13:13" ht="13.9" customHeight="1" x14ac:dyDescent="0.2">
      <c r="M227" s="84"/>
    </row>
    <row r="228" spans="13:13" ht="13.9" customHeight="1" x14ac:dyDescent="0.2">
      <c r="M228" s="84"/>
    </row>
    <row r="229" spans="13:13" ht="13.9" customHeight="1" x14ac:dyDescent="0.2">
      <c r="M229" s="84"/>
    </row>
    <row r="230" spans="13:13" ht="13.9" customHeight="1" x14ac:dyDescent="0.2">
      <c r="M230" s="84"/>
    </row>
    <row r="231" spans="13:13" ht="13.9" customHeight="1" x14ac:dyDescent="0.2">
      <c r="M231" s="84"/>
    </row>
    <row r="232" spans="13:13" ht="13.9" customHeight="1" x14ac:dyDescent="0.2">
      <c r="M232" s="84"/>
    </row>
    <row r="233" spans="13:13" ht="13.9" customHeight="1" x14ac:dyDescent="0.2">
      <c r="M233" s="84"/>
    </row>
    <row r="234" spans="13:13" ht="13.9" customHeight="1" x14ac:dyDescent="0.2">
      <c r="M234" s="84"/>
    </row>
    <row r="235" spans="13:13" ht="13.9" customHeight="1" x14ac:dyDescent="0.2">
      <c r="M235" s="84"/>
    </row>
    <row r="236" spans="13:13" ht="13.9" customHeight="1" x14ac:dyDescent="0.2">
      <c r="M236" s="84"/>
    </row>
    <row r="237" spans="13:13" ht="13.9" customHeight="1" x14ac:dyDescent="0.2">
      <c r="M237" s="84"/>
    </row>
    <row r="238" spans="13:13" ht="13.9" customHeight="1" x14ac:dyDescent="0.2">
      <c r="M238" s="84"/>
    </row>
    <row r="239" spans="13:13" ht="13.9" customHeight="1" x14ac:dyDescent="0.2">
      <c r="M239" s="84"/>
    </row>
    <row r="240" spans="13:13" ht="13.9" customHeight="1" x14ac:dyDescent="0.2">
      <c r="M240" s="84"/>
    </row>
    <row r="241" spans="13:13" ht="13.9" customHeight="1" x14ac:dyDescent="0.2">
      <c r="M241" s="84"/>
    </row>
    <row r="242" spans="13:13" ht="13.9" customHeight="1" x14ac:dyDescent="0.2">
      <c r="M242" s="84"/>
    </row>
    <row r="243" spans="13:13" ht="13.9" customHeight="1" x14ac:dyDescent="0.2">
      <c r="M243" s="84"/>
    </row>
    <row r="244" spans="13:13" ht="13.9" customHeight="1" x14ac:dyDescent="0.2">
      <c r="M244" s="84"/>
    </row>
    <row r="245" spans="13:13" ht="13.9" customHeight="1" x14ac:dyDescent="0.2">
      <c r="M245" s="84"/>
    </row>
    <row r="246" spans="13:13" ht="13.9" customHeight="1" x14ac:dyDescent="0.2">
      <c r="M246" s="84"/>
    </row>
    <row r="247" spans="13:13" ht="13.9" customHeight="1" x14ac:dyDescent="0.2">
      <c r="M247" s="84"/>
    </row>
    <row r="248" spans="13:13" ht="13.9" customHeight="1" x14ac:dyDescent="0.2">
      <c r="M248" s="84"/>
    </row>
    <row r="249" spans="13:13" ht="13.9" customHeight="1" x14ac:dyDescent="0.2">
      <c r="M249" s="84"/>
    </row>
    <row r="250" spans="13:13" ht="13.9" customHeight="1" x14ac:dyDescent="0.2">
      <c r="M250" s="84"/>
    </row>
    <row r="251" spans="13:13" ht="13.9" customHeight="1" x14ac:dyDescent="0.2">
      <c r="M251" s="84"/>
    </row>
    <row r="252" spans="13:13" ht="13.9" customHeight="1" x14ac:dyDescent="0.2">
      <c r="M252" s="84"/>
    </row>
    <row r="253" spans="13:13" ht="13.9" customHeight="1" x14ac:dyDescent="0.2">
      <c r="M253" s="84"/>
    </row>
    <row r="254" spans="13:13" ht="13.9" customHeight="1" x14ac:dyDescent="0.2">
      <c r="M254" s="84"/>
    </row>
    <row r="255" spans="13:13" ht="13.9" customHeight="1" x14ac:dyDescent="0.2">
      <c r="M255" s="84"/>
    </row>
    <row r="256" spans="13:13" ht="13.9" customHeight="1" x14ac:dyDescent="0.2">
      <c r="M256" s="84"/>
    </row>
    <row r="257" spans="13:13" ht="13.9" customHeight="1" x14ac:dyDescent="0.2">
      <c r="M257" s="84"/>
    </row>
    <row r="258" spans="13:13" ht="13.9" customHeight="1" x14ac:dyDescent="0.2">
      <c r="M258" s="84"/>
    </row>
    <row r="259" spans="13:13" ht="13.9" customHeight="1" x14ac:dyDescent="0.2">
      <c r="M259" s="84"/>
    </row>
    <row r="260" spans="13:13" ht="13.9" customHeight="1" x14ac:dyDescent="0.2">
      <c r="M260" s="84"/>
    </row>
    <row r="261" spans="13:13" ht="13.9" customHeight="1" x14ac:dyDescent="0.2">
      <c r="M261" s="84"/>
    </row>
    <row r="262" spans="13:13" ht="13.9" customHeight="1" x14ac:dyDescent="0.2">
      <c r="M262" s="84"/>
    </row>
    <row r="263" spans="13:13" ht="13.9" customHeight="1" x14ac:dyDescent="0.2">
      <c r="M263" s="84"/>
    </row>
    <row r="264" spans="13:13" ht="13.9" customHeight="1" x14ac:dyDescent="0.2">
      <c r="M264" s="84"/>
    </row>
    <row r="265" spans="13:13" ht="13.9" customHeight="1" x14ac:dyDescent="0.2">
      <c r="M265" s="84"/>
    </row>
    <row r="266" spans="13:13" ht="13.9" customHeight="1" x14ac:dyDescent="0.2">
      <c r="M266" s="84"/>
    </row>
    <row r="267" spans="13:13" ht="13.9" customHeight="1" x14ac:dyDescent="0.2">
      <c r="M267" s="84"/>
    </row>
    <row r="268" spans="13:13" ht="13.9" customHeight="1" x14ac:dyDescent="0.2">
      <c r="M268" s="84"/>
    </row>
    <row r="269" spans="13:13" ht="13.9" customHeight="1" x14ac:dyDescent="0.2">
      <c r="M269" s="84"/>
    </row>
    <row r="270" spans="13:13" ht="13.9" customHeight="1" x14ac:dyDescent="0.2">
      <c r="M270" s="84"/>
    </row>
    <row r="271" spans="13:13" ht="13.9" customHeight="1" x14ac:dyDescent="0.2">
      <c r="M271" s="84"/>
    </row>
    <row r="272" spans="13:13" ht="13.9" customHeight="1" x14ac:dyDescent="0.2">
      <c r="M272" s="84"/>
    </row>
  </sheetData>
  <mergeCells count="14">
    <mergeCell ref="R73:AB76"/>
    <mergeCell ref="B130:H131"/>
    <mergeCell ref="K3:K6"/>
    <mergeCell ref="M3:M6"/>
    <mergeCell ref="P3:P6"/>
    <mergeCell ref="N3:O6"/>
    <mergeCell ref="L3:L6"/>
    <mergeCell ref="J11:O12"/>
    <mergeCell ref="N58:O65"/>
    <mergeCell ref="L36:U38"/>
    <mergeCell ref="B3:F5"/>
    <mergeCell ref="E21:J22"/>
    <mergeCell ref="B52:M54"/>
    <mergeCell ref="B43:M44"/>
  </mergeCells>
  <phoneticPr fontId="3" type="noConversion"/>
  <printOptions gridLines="1"/>
  <pageMargins left="0.4" right="0.4" top="0.4" bottom="0.4" header="0.5" footer="0.5"/>
  <pageSetup scale="90" orientation="landscape"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336"/>
  <sheetViews>
    <sheetView topLeftCell="A170" workbookViewId="0">
      <selection activeCell="J48" sqref="J48"/>
    </sheetView>
  </sheetViews>
  <sheetFormatPr defaultRowHeight="13.9" customHeight="1" x14ac:dyDescent="0.2"/>
  <cols>
    <col min="1" max="1" width="2.5703125" customWidth="1"/>
    <col min="8" max="8" width="12.140625" customWidth="1"/>
    <col min="11" max="12" width="9.28515625" customWidth="1"/>
    <col min="13" max="13" width="9.28515625" style="30" customWidth="1"/>
    <col min="14" max="15" width="9.28515625" style="84" customWidth="1"/>
    <col min="16" max="16" width="9.28515625" customWidth="1"/>
    <col min="41" max="41" width="2.42578125" customWidth="1"/>
  </cols>
  <sheetData>
    <row r="1" spans="2:41" ht="13.9" customHeight="1" x14ac:dyDescent="0.25">
      <c r="B1" s="70" t="s">
        <v>181</v>
      </c>
      <c r="M1" s="345">
        <f>Summary!J1</f>
        <v>40823</v>
      </c>
      <c r="AO1" s="8">
        <f>ROW()</f>
        <v>1</v>
      </c>
    </row>
    <row r="2" spans="2:41" ht="13.9" customHeight="1" thickBot="1" x14ac:dyDescent="0.25">
      <c r="B2" s="1"/>
      <c r="M2" s="84"/>
      <c r="AO2" s="8">
        <f>ROW()</f>
        <v>2</v>
      </c>
    </row>
    <row r="3" spans="2:41" ht="13.9" customHeight="1" x14ac:dyDescent="0.2">
      <c r="B3" s="483" t="s">
        <v>327</v>
      </c>
      <c r="C3" s="484"/>
      <c r="D3" s="484"/>
      <c r="E3" s="484"/>
      <c r="F3" s="484"/>
      <c r="G3" s="485"/>
      <c r="I3" s="84"/>
      <c r="J3" s="84"/>
      <c r="K3" s="426" t="s">
        <v>137</v>
      </c>
      <c r="L3" s="424" t="s">
        <v>360</v>
      </c>
      <c r="M3" s="424" t="s">
        <v>360</v>
      </c>
      <c r="N3" s="397" t="s">
        <v>282</v>
      </c>
      <c r="O3" s="398"/>
      <c r="P3" s="393" t="s">
        <v>138</v>
      </c>
      <c r="AO3" s="8">
        <f>ROW()</f>
        <v>3</v>
      </c>
    </row>
    <row r="4" spans="2:41" ht="13.9" customHeight="1" x14ac:dyDescent="0.2">
      <c r="B4" s="486"/>
      <c r="C4" s="487"/>
      <c r="D4" s="487"/>
      <c r="E4" s="487"/>
      <c r="F4" s="487"/>
      <c r="G4" s="488"/>
      <c r="K4" s="427"/>
      <c r="L4" s="425"/>
      <c r="M4" s="425"/>
      <c r="N4" s="399"/>
      <c r="O4" s="398"/>
      <c r="P4" s="394"/>
      <c r="AO4" s="8">
        <f>ROW()</f>
        <v>4</v>
      </c>
    </row>
    <row r="5" spans="2:41" ht="13.9" customHeight="1" x14ac:dyDescent="0.2">
      <c r="B5" s="486"/>
      <c r="C5" s="487"/>
      <c r="D5" s="487"/>
      <c r="E5" s="487"/>
      <c r="F5" s="487"/>
      <c r="G5" s="488"/>
      <c r="I5" s="129"/>
      <c r="J5" s="129"/>
      <c r="K5" s="427"/>
      <c r="L5" s="425"/>
      <c r="M5" s="425"/>
      <c r="N5" s="399"/>
      <c r="O5" s="398"/>
      <c r="P5" s="394"/>
      <c r="AO5" s="8">
        <f>ROW()</f>
        <v>5</v>
      </c>
    </row>
    <row r="6" spans="2:41" ht="13.9" customHeight="1" thickBot="1" x14ac:dyDescent="0.25">
      <c r="B6" s="489"/>
      <c r="C6" s="490"/>
      <c r="D6" s="490"/>
      <c r="E6" s="490"/>
      <c r="F6" s="490"/>
      <c r="G6" s="491"/>
      <c r="I6" s="3"/>
      <c r="J6" s="3"/>
      <c r="K6" s="428"/>
      <c r="L6" s="425"/>
      <c r="M6" s="425"/>
      <c r="N6" s="399"/>
      <c r="O6" s="398"/>
      <c r="P6" s="395"/>
      <c r="AO6" s="8">
        <f>ROW()</f>
        <v>6</v>
      </c>
    </row>
    <row r="7" spans="2:41" ht="13.9" customHeight="1" x14ac:dyDescent="0.2">
      <c r="B7" s="14" t="s">
        <v>609</v>
      </c>
      <c r="H7" s="63"/>
      <c r="I7" s="165"/>
      <c r="J7" s="131"/>
      <c r="K7" s="170">
        <v>2007</v>
      </c>
      <c r="L7" s="242">
        <v>2008</v>
      </c>
      <c r="M7" s="242">
        <v>2009</v>
      </c>
      <c r="N7" s="242">
        <v>2010</v>
      </c>
      <c r="O7" s="170">
        <v>2011</v>
      </c>
      <c r="P7" s="130">
        <f>Summary!P115</f>
        <v>2012</v>
      </c>
      <c r="Q7" s="13">
        <f t="shared" ref="Q7:AL7" si="0">P7+1</f>
        <v>2013</v>
      </c>
      <c r="R7" s="13">
        <f t="shared" si="0"/>
        <v>2014</v>
      </c>
      <c r="S7" s="13">
        <f t="shared" si="0"/>
        <v>2015</v>
      </c>
      <c r="T7" s="13">
        <f t="shared" si="0"/>
        <v>2016</v>
      </c>
      <c r="U7" s="13">
        <f t="shared" si="0"/>
        <v>2017</v>
      </c>
      <c r="V7" s="13">
        <f t="shared" si="0"/>
        <v>2018</v>
      </c>
      <c r="W7" s="13">
        <f t="shared" si="0"/>
        <v>2019</v>
      </c>
      <c r="X7" s="13">
        <f t="shared" si="0"/>
        <v>2020</v>
      </c>
      <c r="Y7" s="13">
        <f t="shared" si="0"/>
        <v>2021</v>
      </c>
      <c r="Z7" s="13">
        <f t="shared" si="0"/>
        <v>2022</v>
      </c>
      <c r="AA7" s="13">
        <f t="shared" si="0"/>
        <v>2023</v>
      </c>
      <c r="AB7" s="13">
        <f t="shared" si="0"/>
        <v>2024</v>
      </c>
      <c r="AC7" s="13">
        <f t="shared" si="0"/>
        <v>2025</v>
      </c>
      <c r="AD7" s="13">
        <f t="shared" si="0"/>
        <v>2026</v>
      </c>
      <c r="AE7" s="13">
        <f t="shared" si="0"/>
        <v>2027</v>
      </c>
      <c r="AF7" s="13">
        <f t="shared" si="0"/>
        <v>2028</v>
      </c>
      <c r="AG7" s="13">
        <f t="shared" si="0"/>
        <v>2029</v>
      </c>
      <c r="AH7" s="13">
        <f t="shared" si="0"/>
        <v>2030</v>
      </c>
      <c r="AI7" s="13">
        <f t="shared" si="0"/>
        <v>2031</v>
      </c>
      <c r="AJ7" s="13">
        <f t="shared" si="0"/>
        <v>2032</v>
      </c>
      <c r="AK7" s="13">
        <f t="shared" si="0"/>
        <v>2033</v>
      </c>
      <c r="AL7" s="13">
        <f t="shared" si="0"/>
        <v>2034</v>
      </c>
      <c r="AO7" s="8">
        <f>ROW()</f>
        <v>7</v>
      </c>
    </row>
    <row r="8" spans="2:41" ht="13.9" customHeight="1" x14ac:dyDescent="0.2">
      <c r="K8" s="13"/>
      <c r="L8" s="241"/>
      <c r="M8" s="241"/>
      <c r="N8" s="241"/>
      <c r="O8" s="203"/>
      <c r="P8" s="62"/>
      <c r="Q8" s="13"/>
      <c r="R8" s="13"/>
      <c r="S8" s="13"/>
      <c r="T8" s="13"/>
      <c r="U8" s="13"/>
      <c r="AO8" s="8">
        <f>ROW()</f>
        <v>8</v>
      </c>
    </row>
    <row r="9" spans="2:41" ht="13.9" customHeight="1" x14ac:dyDescent="0.2">
      <c r="B9" s="64" t="s">
        <v>8</v>
      </c>
      <c r="H9" s="63"/>
      <c r="I9" s="63"/>
      <c r="J9" s="63"/>
      <c r="K9" s="13"/>
      <c r="L9" s="13"/>
      <c r="M9" s="203"/>
      <c r="N9" s="203"/>
      <c r="O9" s="203"/>
      <c r="P9" s="62"/>
      <c r="Q9" s="13"/>
      <c r="R9" s="13"/>
      <c r="S9" s="13"/>
      <c r="T9" s="13"/>
      <c r="U9" s="13"/>
      <c r="AO9" s="8">
        <f>ROW()</f>
        <v>9</v>
      </c>
    </row>
    <row r="10" spans="2:41" ht="13.9" customHeight="1" x14ac:dyDescent="0.2">
      <c r="B10" s="71" t="s">
        <v>301</v>
      </c>
      <c r="M10" s="84"/>
      <c r="AO10" s="8">
        <f>ROW()</f>
        <v>10</v>
      </c>
    </row>
    <row r="11" spans="2:41" ht="13.9" customHeight="1" x14ac:dyDescent="0.2">
      <c r="B11" s="234" t="s">
        <v>439</v>
      </c>
      <c r="I11" s="274">
        <f>Summary!$J$76</f>
        <v>10</v>
      </c>
      <c r="J11" s="471" t="str">
        <f>CONCATENATE("Do not type in two boxes at left. Quantities in those boxes are inputted automatically from Cells I",Summary!$AN$76,", I",Summary!$AN$78,", I",Summary!$AN$80,", and I",Summary!$AN$85," in 'Summary' worksheet. ",)</f>
        <v xml:space="preserve">Do not type in two boxes at left. Quantities in those boxes are inputted automatically from Cells I76, I78, I80, and I85 in 'Summary' worksheet. </v>
      </c>
      <c r="K11" s="472"/>
      <c r="L11" s="472"/>
      <c r="M11" s="472"/>
      <c r="N11" s="472"/>
      <c r="O11" s="473"/>
      <c r="AO11" s="8">
        <f>ROW()</f>
        <v>11</v>
      </c>
    </row>
    <row r="12" spans="2:41" ht="13.9" customHeight="1" x14ac:dyDescent="0.2">
      <c r="B12" s="234" t="s">
        <v>438</v>
      </c>
      <c r="I12" s="274">
        <f>IF(Summary!J78=1,MAX(Summary!J80, 0.0001),Summary!J85)</f>
        <v>0.1</v>
      </c>
      <c r="J12" s="474"/>
      <c r="K12" s="475"/>
      <c r="L12" s="475"/>
      <c r="M12" s="475"/>
      <c r="N12" s="475"/>
      <c r="O12" s="476"/>
      <c r="AO12" s="8">
        <f>ROW()</f>
        <v>12</v>
      </c>
    </row>
    <row r="13" spans="2:41" ht="13.9" customHeight="1" x14ac:dyDescent="0.2">
      <c r="B13" s="110" t="str">
        <f>CONCATENATE("Note: Cell H",AO12, " is formulated as greater of (i) value entered in Summary, and (ii) 0.0001, to allow carbon tax rate to be set to zero; otherwise, zero would appear in denominator of some cells.")</f>
        <v>Note: Cell H12 is formulated as greater of (i) value entered in Summary, and (ii) 0.0001, to allow carbon tax rate to be set to zero; otherwise, zero would appear in denominator of some cells.</v>
      </c>
      <c r="I13" s="275"/>
      <c r="J13" s="262"/>
      <c r="K13" s="262"/>
      <c r="L13" s="262"/>
      <c r="M13" s="262"/>
      <c r="N13" s="262"/>
      <c r="O13" s="262"/>
      <c r="AO13" s="8">
        <f>ROW()</f>
        <v>13</v>
      </c>
    </row>
    <row r="14" spans="2:41" ht="13.9" customHeight="1" x14ac:dyDescent="0.2">
      <c r="H14" s="61"/>
      <c r="I14" s="61"/>
      <c r="J14" s="61"/>
      <c r="M14"/>
      <c r="N14"/>
      <c r="AO14" s="8">
        <f>ROW()</f>
        <v>14</v>
      </c>
    </row>
    <row r="15" spans="2:41" ht="13.9" customHeight="1" x14ac:dyDescent="0.2">
      <c r="B15" s="42" t="str">
        <f>CONCATENATE("Is year at top of column equal to or greater than tax-start year (which was inputted in Summary tab, Cell H",Summary!$AN$98, ")?")</f>
        <v>Is year at top of column equal to or greater than tax-start year (which was inputted in Summary tab, Cell H98)?</v>
      </c>
      <c r="H15" s="2"/>
      <c r="I15" s="2"/>
      <c r="J15" s="2"/>
      <c r="M15" s="57" t="str">
        <f>IF(M$7&gt;=Summary!$J98,"YES","NO")</f>
        <v>NO</v>
      </c>
      <c r="N15" s="57" t="str">
        <f>IF(N$7&gt;=Summary!$J98,"YES","NO")</f>
        <v>NO</v>
      </c>
      <c r="O15" s="57" t="str">
        <f>IF(O$7&gt;=Summary!$J98,"YES","NO")</f>
        <v>NO</v>
      </c>
      <c r="P15" s="57" t="str">
        <f>IF(P$7&gt;=Summary!$J98,"YES","NO")</f>
        <v>YES</v>
      </c>
      <c r="Q15" s="57" t="str">
        <f>IF(Q$7&gt;=Summary!$J98,"YES","NO")</f>
        <v>YES</v>
      </c>
      <c r="R15" s="57" t="str">
        <f>IF(R$7&gt;=Summary!$J98,"YES","NO")</f>
        <v>YES</v>
      </c>
      <c r="S15" s="57" t="str">
        <f>IF(S$7&gt;=Summary!$J98,"YES","NO")</f>
        <v>YES</v>
      </c>
      <c r="T15" s="57" t="str">
        <f>IF(T$7&gt;=Summary!$J98,"YES","NO")</f>
        <v>YES</v>
      </c>
      <c r="U15" s="57" t="str">
        <f>IF(U$7&gt;=Summary!$J98,"YES","NO")</f>
        <v>YES</v>
      </c>
      <c r="V15" s="57" t="str">
        <f>IF(V$7&gt;=Summary!$J98,"YES","NO")</f>
        <v>YES</v>
      </c>
      <c r="W15" s="57" t="str">
        <f>IF(W$7&gt;=Summary!$J98,"YES","NO")</f>
        <v>YES</v>
      </c>
      <c r="X15" s="57" t="str">
        <f>IF(X$7&gt;=Summary!$J98,"YES","NO")</f>
        <v>YES</v>
      </c>
      <c r="Y15" s="57" t="str">
        <f>IF(Y$7&gt;=Summary!$J98,"YES","NO")</f>
        <v>YES</v>
      </c>
      <c r="Z15" s="57" t="str">
        <f>IF(Z$7&gt;=Summary!$J98,"YES","NO")</f>
        <v>YES</v>
      </c>
      <c r="AA15" s="57" t="str">
        <f>IF(AA$7&gt;=Summary!$J98,"YES","NO")</f>
        <v>YES</v>
      </c>
      <c r="AB15" s="57" t="str">
        <f>IF(AB$7&gt;=Summary!$J98,"YES","NO")</f>
        <v>YES</v>
      </c>
      <c r="AC15" s="57" t="str">
        <f>IF(AC$7&gt;=Summary!$J98,"YES","NO")</f>
        <v>YES</v>
      </c>
      <c r="AD15" s="57" t="str">
        <f>IF(AD$7&gt;=Summary!$J98,"YES","NO")</f>
        <v>YES</v>
      </c>
      <c r="AE15" s="57" t="str">
        <f>IF(AE$7&gt;=Summary!$J98,"YES","NO")</f>
        <v>YES</v>
      </c>
      <c r="AF15" s="57" t="str">
        <f>IF(AF$7&gt;=Summary!$J98,"YES","NO")</f>
        <v>YES</v>
      </c>
      <c r="AG15" s="57" t="str">
        <f>IF(AG$7&gt;=Summary!$J98,"YES","NO")</f>
        <v>YES</v>
      </c>
      <c r="AH15" s="57" t="str">
        <f>IF(AH$7&gt;=Summary!$J98,"YES","NO")</f>
        <v>YES</v>
      </c>
      <c r="AI15" s="57" t="str">
        <f>IF(AI$7&gt;=Summary!$J98,"YES","NO")</f>
        <v>YES</v>
      </c>
      <c r="AJ15" s="57" t="str">
        <f>IF(AJ$7&gt;=Summary!$J98,"YES","NO")</f>
        <v>YES</v>
      </c>
      <c r="AK15" s="57" t="str">
        <f>IF(AK$7&gt;=Summary!$J98,"YES","NO")</f>
        <v>YES</v>
      </c>
      <c r="AL15" s="57" t="str">
        <f>IF(AL$7&gt;=Summary!$J98,"YES","NO")</f>
        <v>YES</v>
      </c>
      <c r="AO15" s="8">
        <f>ROW()</f>
        <v>15</v>
      </c>
    </row>
    <row r="16" spans="2:41" ht="13.9" customHeight="1" x14ac:dyDescent="0.2">
      <c r="B16" s="42" t="str">
        <f>CONCATENATE("Is year at top of column equal to or greater than final tax year (which was inputted in Summary tab, Cell H",Summary!$AN$110, ")?")</f>
        <v>Is year at top of column equal to or greater than final tax year (which was inputted in Summary tab, Cell H110)?</v>
      </c>
      <c r="H16" s="2"/>
      <c r="I16" s="2"/>
      <c r="J16" s="2"/>
      <c r="M16" s="57" t="str">
        <f>IF(M$7&gt;Summary!$J99,"YES","NO")</f>
        <v>NO</v>
      </c>
      <c r="N16" s="57" t="str">
        <f>IF(N$7&gt;Summary!$J99,"YES","NO")</f>
        <v>NO</v>
      </c>
      <c r="O16" s="57" t="str">
        <f>IF(O$7&gt;Summary!$J99,"YES","NO")</f>
        <v>NO</v>
      </c>
      <c r="P16" s="57" t="str">
        <f>IF(P$7&gt;Summary!$J99,"YES","NO")</f>
        <v>NO</v>
      </c>
      <c r="Q16" s="57" t="str">
        <f>IF(Q$7&gt;Summary!$J99,"YES","NO")</f>
        <v>NO</v>
      </c>
      <c r="R16" s="57" t="str">
        <f>IF(R$7&gt;Summary!$J99,"YES","NO")</f>
        <v>NO</v>
      </c>
      <c r="S16" s="57" t="str">
        <f>IF(S$7&gt;Summary!$J99,"YES","NO")</f>
        <v>NO</v>
      </c>
      <c r="T16" s="57" t="str">
        <f>IF(T$7&gt;Summary!$J99,"YES","NO")</f>
        <v>NO</v>
      </c>
      <c r="U16" s="57" t="str">
        <f>IF(U$7&gt;Summary!$J99,"YES","NO")</f>
        <v>NO</v>
      </c>
      <c r="V16" s="57" t="str">
        <f>IF(V$7&gt;Summary!$J99,"YES","NO")</f>
        <v>NO</v>
      </c>
      <c r="W16" s="57" t="str">
        <f>IF(W$7&gt;Summary!$J99,"YES","NO")</f>
        <v>NO</v>
      </c>
      <c r="X16" s="57" t="str">
        <f>IF(X$7&gt;Summary!$J99,"YES","NO")</f>
        <v>NO</v>
      </c>
      <c r="Y16" s="57" t="str">
        <f>IF(Y$7&gt;Summary!$J99,"YES","NO")</f>
        <v>NO</v>
      </c>
      <c r="Z16" s="57" t="str">
        <f>IF(Z$7&gt;Summary!$J99,"YES","NO")</f>
        <v>NO</v>
      </c>
      <c r="AA16" s="57" t="str">
        <f>IF(AA$7&gt;Summary!$J99,"YES","NO")</f>
        <v>NO</v>
      </c>
      <c r="AB16" s="57" t="str">
        <f>IF(AB$7&gt;Summary!$J99,"YES","NO")</f>
        <v>NO</v>
      </c>
      <c r="AC16" s="57" t="str">
        <f>IF(AC$7&gt;Summary!$J99,"YES","NO")</f>
        <v>NO</v>
      </c>
      <c r="AD16" s="57" t="str">
        <f>IF(AD$7&gt;Summary!$J99,"YES","NO")</f>
        <v>NO</v>
      </c>
      <c r="AE16" s="57" t="str">
        <f>IF(AE$7&gt;Summary!$J99,"YES","NO")</f>
        <v>YES</v>
      </c>
      <c r="AF16" s="57" t="str">
        <f>IF(AF$7&gt;Summary!$J99,"YES","NO")</f>
        <v>YES</v>
      </c>
      <c r="AG16" s="57" t="str">
        <f>IF(AG$7&gt;Summary!$J99,"YES","NO")</f>
        <v>YES</v>
      </c>
      <c r="AH16" s="57" t="str">
        <f>IF(AH$7&gt;Summary!$J99,"YES","NO")</f>
        <v>YES</v>
      </c>
      <c r="AI16" s="57" t="str">
        <f>IF(AI$7&gt;Summary!$J99,"YES","NO")</f>
        <v>YES</v>
      </c>
      <c r="AJ16" s="57" t="str">
        <f>IF(AJ$7&gt;Summary!$J99,"YES","NO")</f>
        <v>YES</v>
      </c>
      <c r="AK16" s="57" t="str">
        <f>IF(AK$7&gt;Summary!$J99,"YES","NO")</f>
        <v>YES</v>
      </c>
      <c r="AL16" s="57" t="str">
        <f>IF(AL$7&gt;Summary!$J99,"YES","NO")</f>
        <v>YES</v>
      </c>
      <c r="AO16" s="8">
        <f>ROW()</f>
        <v>16</v>
      </c>
    </row>
    <row r="17" spans="1:41" ht="13.9" customHeight="1" x14ac:dyDescent="0.2">
      <c r="B17" s="42" t="s">
        <v>441</v>
      </c>
      <c r="M17">
        <f t="shared" ref="M17:AL17" si="1">IF(M15="NO",0,(IF(AND(M15="YES",M16="NO"),L17+1,L17)))</f>
        <v>0</v>
      </c>
      <c r="N17">
        <f t="shared" si="1"/>
        <v>0</v>
      </c>
      <c r="O17">
        <f t="shared" si="1"/>
        <v>0</v>
      </c>
      <c r="P17">
        <f t="shared" si="1"/>
        <v>1</v>
      </c>
      <c r="Q17">
        <f t="shared" si="1"/>
        <v>2</v>
      </c>
      <c r="R17">
        <f t="shared" si="1"/>
        <v>3</v>
      </c>
      <c r="S17">
        <f t="shared" si="1"/>
        <v>4</v>
      </c>
      <c r="T17">
        <f t="shared" si="1"/>
        <v>5</v>
      </c>
      <c r="U17">
        <f t="shared" si="1"/>
        <v>6</v>
      </c>
      <c r="V17">
        <f t="shared" si="1"/>
        <v>7</v>
      </c>
      <c r="W17">
        <f t="shared" si="1"/>
        <v>8</v>
      </c>
      <c r="X17">
        <f t="shared" si="1"/>
        <v>9</v>
      </c>
      <c r="Y17">
        <f t="shared" si="1"/>
        <v>10</v>
      </c>
      <c r="Z17">
        <f t="shared" si="1"/>
        <v>11</v>
      </c>
      <c r="AA17">
        <f t="shared" si="1"/>
        <v>12</v>
      </c>
      <c r="AB17">
        <f t="shared" si="1"/>
        <v>13</v>
      </c>
      <c r="AC17">
        <f t="shared" si="1"/>
        <v>14</v>
      </c>
      <c r="AD17">
        <f t="shared" si="1"/>
        <v>15</v>
      </c>
      <c r="AE17">
        <f t="shared" si="1"/>
        <v>15</v>
      </c>
      <c r="AF17">
        <f t="shared" si="1"/>
        <v>15</v>
      </c>
      <c r="AG17">
        <f t="shared" si="1"/>
        <v>15</v>
      </c>
      <c r="AH17">
        <f t="shared" si="1"/>
        <v>15</v>
      </c>
      <c r="AI17">
        <f t="shared" si="1"/>
        <v>15</v>
      </c>
      <c r="AJ17">
        <f t="shared" si="1"/>
        <v>15</v>
      </c>
      <c r="AK17">
        <f t="shared" si="1"/>
        <v>15</v>
      </c>
      <c r="AL17">
        <f t="shared" si="1"/>
        <v>15</v>
      </c>
      <c r="AO17" s="8">
        <f>ROW()</f>
        <v>17</v>
      </c>
    </row>
    <row r="18" spans="1:41" s="74" customFormat="1" ht="13.9" customHeight="1" x14ac:dyDescent="0.2">
      <c r="A18"/>
      <c r="B18" t="s">
        <v>36</v>
      </c>
      <c r="C18"/>
      <c r="D18"/>
      <c r="E18"/>
      <c r="F18"/>
      <c r="G18"/>
      <c r="H18" s="2"/>
      <c r="I18" s="2"/>
      <c r="J18" s="2"/>
      <c r="K18"/>
      <c r="L18"/>
      <c r="M18" s="91">
        <f>IF(Summary!$J78=1,MAX(0,$I$11*MIN(1,M17)+$I$12*(M17-1)),IF(M17=0,0,($I$11*(1+$I$12)^(M17-1))))</f>
        <v>0</v>
      </c>
      <c r="N18" s="91">
        <f>IF(Summary!$J78=1,MAX(0,$I$11*MIN(1,N17)+$I$12*(N17-1)),IF(N17=0,0,($I$11*(1+$I$12)^(N17-1))))</f>
        <v>0</v>
      </c>
      <c r="O18" s="91">
        <f>IF(Summary!$J78=1,MAX(0,$I$11*MIN(1,O17)+$I$12*(O17-1)),IF(O17=0,0,($I$11*(1+$I$12)^(O17-1))))</f>
        <v>0</v>
      </c>
      <c r="P18" s="91">
        <f>IF(Summary!$J78=1,MAX(0,$I$11*MIN(1,P17)+$I$12*(P17-1)),IF(P17=0,0,($I$11*(1+$I$12)^(P17-1))))</f>
        <v>10</v>
      </c>
      <c r="Q18" s="91">
        <f>IF(Summary!$J78=1,MAX(0,$I$11*MIN(1,Q17)+$I$12*(Q17-1)),IF(Q17=0,0,($I$11*(1+$I$12)^(Q17-1))))</f>
        <v>11</v>
      </c>
      <c r="R18" s="91">
        <f>IF(Summary!$J78=1,MAX(0,$I$11*MIN(1,R17)+$I$12*(R17-1)),IF(R17=0,0,($I$11*(1+$I$12)^(R17-1))))</f>
        <v>12.100000000000001</v>
      </c>
      <c r="S18" s="91">
        <f>IF(Summary!$J78=1,MAX(0,$I$11*MIN(1,S17)+$I$12*(S17-1)),IF(S17=0,0,($I$11*(1+$I$12)^(S17-1))))</f>
        <v>13.310000000000004</v>
      </c>
      <c r="T18" s="91">
        <f>IF(Summary!$J78=1,MAX(0,$I$11*MIN(1,T17)+$I$12*(T17-1)),IF(T17=0,0,($I$11*(1+$I$12)^(T17-1))))</f>
        <v>14.641000000000004</v>
      </c>
      <c r="U18" s="91">
        <f>IF(Summary!$J78=1,MAX(0,$I$11*MIN(1,U17)+$I$12*(U17-1)),IF(U17=0,0,($I$11*(1+$I$12)^(U17-1))))</f>
        <v>16.105100000000007</v>
      </c>
      <c r="V18" s="91">
        <f>IF(Summary!$J78=1,MAX(0,$I$11*MIN(1,V17)+$I$12*(V17-1)),IF(V17=0,0,($I$11*(1+$I$12)^(V17-1))))</f>
        <v>17.715610000000009</v>
      </c>
      <c r="W18" s="91">
        <f>IF(Summary!$J78=1,MAX(0,$I$11*MIN(1,W17)+$I$12*(W17-1)),IF(W17=0,0,($I$11*(1+$I$12)^(W17-1))))</f>
        <v>19.487171000000011</v>
      </c>
      <c r="X18" s="91">
        <f>IF(Summary!$J78=1,MAX(0,$I$11*MIN(1,X17)+$I$12*(X17-1)),IF(X17=0,0,($I$11*(1+$I$12)^(X17-1))))</f>
        <v>21.43588810000001</v>
      </c>
      <c r="Y18" s="91">
        <f>IF(Summary!$J78=1,MAX(0,$I$11*MIN(1,Y17)+$I$12*(Y17-1)),IF(Y17=0,0,($I$11*(1+$I$12)^(Y17-1))))</f>
        <v>23.579476910000015</v>
      </c>
      <c r="Z18" s="91">
        <f>IF(Summary!$J78=1,MAX(0,$I$11*MIN(1,Z17)+$I$12*(Z17-1)),IF(Z17=0,0,($I$11*(1+$I$12)^(Z17-1))))</f>
        <v>25.937424601000018</v>
      </c>
      <c r="AA18" s="91">
        <f>IF(Summary!$J78=1,MAX(0,$I$11*MIN(1,AA17)+$I$12*(AA17-1)),IF(AA17=0,0,($I$11*(1+$I$12)^(AA17-1))))</f>
        <v>28.531167061100025</v>
      </c>
      <c r="AB18" s="91">
        <f>IF(Summary!$J78=1,MAX(0,$I$11*MIN(1,AB17)+$I$12*(AB17-1)),IF(AB17=0,0,($I$11*(1+$I$12)^(AB17-1))))</f>
        <v>31.384283767210025</v>
      </c>
      <c r="AC18" s="91">
        <f>IF(Summary!$J78=1,MAX(0,$I$11*MIN(1,AC17)+$I$12*(AC17-1)),IF(AC17=0,0,($I$11*(1+$I$12)^(AC17-1))))</f>
        <v>34.522712143931031</v>
      </c>
      <c r="AD18" s="91">
        <f>IF(Summary!$J78=1,MAX(0,$I$11*MIN(1,AD17)+$I$12*(AD17-1)),IF(AD17=0,0,($I$11*(1+$I$12)^(AD17-1))))</f>
        <v>37.974983358324138</v>
      </c>
      <c r="AE18" s="91">
        <f>IF(Summary!$J78=1,MAX(0,$I$11*MIN(1,AE17)+$I$12*(AE17-1)),IF(AE17=0,0,($I$11*(1+$I$12)^(AE17-1))))</f>
        <v>37.974983358324138</v>
      </c>
      <c r="AF18" s="91">
        <f>IF(Summary!$J78=1,MAX(0,$I$11*MIN(1,AF17)+$I$12*(AF17-1)),IF(AF17=0,0,($I$11*(1+$I$12)^(AF17-1))))</f>
        <v>37.974983358324138</v>
      </c>
      <c r="AG18" s="91">
        <f>IF(Summary!$J78=1,MAX(0,$I$11*MIN(1,AG17)+$I$12*(AG17-1)),IF(AG17=0,0,($I$11*(1+$I$12)^(AG17-1))))</f>
        <v>37.974983358324138</v>
      </c>
      <c r="AH18" s="91">
        <f>IF(Summary!$J78=1,MAX(0,$I$11*MIN(1,AH17)+$I$12*(AH17-1)),IF(AH17=0,0,($I$11*(1+$I$12)^(AH17-1))))</f>
        <v>37.974983358324138</v>
      </c>
      <c r="AI18" s="91">
        <f>IF(Summary!$J78=1,MAX(0,$I$11*MIN(1,AI17)+$I$12*(AI17-1)),IF(AI17=0,0,($I$11*(1+$I$12)^(AI17-1))))</f>
        <v>37.974983358324138</v>
      </c>
      <c r="AJ18" s="91">
        <f>IF(Summary!$J78=1,MAX(0,$I$11*MIN(1,AJ17)+$I$12*(AJ17-1)),IF(AJ17=0,0,($I$11*(1+$I$12)^(AJ17-1))))</f>
        <v>37.974983358324138</v>
      </c>
      <c r="AK18" s="91">
        <f>IF(Summary!$J78=1,MAX(0,$I$11*MIN(1,AK17)+$I$12*(AK17-1)),IF(AK17=0,0,($I$11*(1+$I$12)^(AK17-1))))</f>
        <v>37.974983358324138</v>
      </c>
      <c r="AL18" s="91">
        <f>IF(Summary!$J78=1,MAX(0,$I$11*MIN(1,AL17)+$I$12*(AL17-1)),IF(AL17=0,0,($I$11*(1+$I$12)^(AL17-1))))</f>
        <v>37.974983358324138</v>
      </c>
      <c r="AM18" s="207"/>
      <c r="AN18" s="207"/>
      <c r="AO18" s="8">
        <f>ROW()</f>
        <v>18</v>
      </c>
    </row>
    <row r="19" spans="1:41" ht="13.9" customHeight="1" x14ac:dyDescent="0.2">
      <c r="A19" s="74"/>
      <c r="B19" s="74" t="s">
        <v>183</v>
      </c>
      <c r="C19" s="74"/>
      <c r="D19" s="74"/>
      <c r="E19" s="74"/>
      <c r="F19" s="74"/>
      <c r="G19" s="74"/>
      <c r="H19" s="75"/>
      <c r="I19" s="75"/>
      <c r="J19" s="75"/>
      <c r="K19" s="74"/>
      <c r="L19" s="74"/>
      <c r="M19" s="76">
        <f>M18*Parameters!$J$15/2000</f>
        <v>0</v>
      </c>
      <c r="N19" s="76">
        <f>N18*Parameters!$J$15/2000</f>
        <v>0</v>
      </c>
      <c r="O19" s="76">
        <f>O18*Parameters!$J$15/2000</f>
        <v>0</v>
      </c>
      <c r="P19" s="76">
        <f>P18*Parameters!$J$15/2000</f>
        <v>11.025</v>
      </c>
      <c r="Q19" s="76">
        <f>Q18*Parameters!$J$15/2000</f>
        <v>12.1275</v>
      </c>
      <c r="R19" s="76">
        <f>R18*Parameters!$J$15/2000</f>
        <v>13.340250000000001</v>
      </c>
      <c r="S19" s="76">
        <f>S18*Parameters!$J$15/2000</f>
        <v>14.674275000000005</v>
      </c>
      <c r="T19" s="76">
        <f>T18*Parameters!$J$15/2000</f>
        <v>16.141702500000005</v>
      </c>
      <c r="U19" s="76">
        <f>U18*Parameters!$J$15/2000</f>
        <v>17.755872750000009</v>
      </c>
      <c r="V19" s="76">
        <f>V18*Parameters!$J$15/2000</f>
        <v>19.531460025000012</v>
      </c>
      <c r="W19" s="76">
        <f>W18*Parameters!$J$15/2000</f>
        <v>21.484606027500014</v>
      </c>
      <c r="X19" s="76">
        <f>X18*Parameters!$J$15/2000</f>
        <v>23.63306663025001</v>
      </c>
      <c r="Y19" s="76">
        <f>Y18*Parameters!$J$15/2000</f>
        <v>25.996373293275017</v>
      </c>
      <c r="Z19" s="76">
        <f>Z18*Parameters!$J$15/2000</f>
        <v>28.59601062260252</v>
      </c>
      <c r="AA19" s="76">
        <f>AA18*Parameters!$J$15/2000</f>
        <v>31.455611684862774</v>
      </c>
      <c r="AB19" s="76">
        <f>AB18*Parameters!$J$15/2000</f>
        <v>34.601172853349055</v>
      </c>
      <c r="AC19" s="76">
        <f>AC18*Parameters!$J$15/2000</f>
        <v>38.061290138683958</v>
      </c>
      <c r="AD19" s="76">
        <f>AD18*Parameters!$J$15/2000</f>
        <v>41.867419152552365</v>
      </c>
      <c r="AE19" s="76">
        <f>AE18*Parameters!$J$15/2000</f>
        <v>41.867419152552365</v>
      </c>
      <c r="AF19" s="76">
        <f>AF18*Parameters!$J$15/2000</f>
        <v>41.867419152552365</v>
      </c>
      <c r="AG19" s="76">
        <f>AG18*Parameters!$J$15/2000</f>
        <v>41.867419152552365</v>
      </c>
      <c r="AH19" s="76">
        <f>AH18*Parameters!$J$15/2000</f>
        <v>41.867419152552365</v>
      </c>
      <c r="AI19" s="76">
        <f>AI18*Parameters!$J$15/2000</f>
        <v>41.867419152552365</v>
      </c>
      <c r="AJ19" s="76">
        <f>AJ18*Parameters!$J$15/2000</f>
        <v>41.867419152552365</v>
      </c>
      <c r="AK19" s="76">
        <f>AK18*Parameters!$J$15/2000</f>
        <v>41.867419152552365</v>
      </c>
      <c r="AL19" s="76">
        <f>AL18*Parameters!$J$15/2000</f>
        <v>41.867419152552365</v>
      </c>
      <c r="AO19" s="8">
        <f>ROW()</f>
        <v>19</v>
      </c>
    </row>
    <row r="20" spans="1:41" ht="13.9" customHeight="1" x14ac:dyDescent="0.2">
      <c r="M20" s="84"/>
      <c r="AO20" s="8">
        <f>ROW()</f>
        <v>20</v>
      </c>
    </row>
    <row r="21" spans="1:41" ht="13.9" customHeight="1" x14ac:dyDescent="0.2">
      <c r="B21" s="9" t="s">
        <v>567</v>
      </c>
      <c r="K21" s="13">
        <f>K7</f>
        <v>2007</v>
      </c>
      <c r="L21" s="13">
        <f>L7</f>
        <v>2008</v>
      </c>
      <c r="M21" s="312">
        <f>M7</f>
        <v>2009</v>
      </c>
      <c r="N21" s="313">
        <f>N7</f>
        <v>2010</v>
      </c>
      <c r="AO21" s="8">
        <f>ROW()</f>
        <v>21</v>
      </c>
    </row>
    <row r="22" spans="1:41" ht="13.9" customHeight="1" x14ac:dyDescent="0.2">
      <c r="B22" s="42" t="s">
        <v>395</v>
      </c>
      <c r="H22" s="110" t="s">
        <v>426</v>
      </c>
      <c r="M22" s="314">
        <v>78.415496000000005</v>
      </c>
      <c r="N22" s="315">
        <v>81.523087000000004</v>
      </c>
      <c r="AO22" s="8">
        <f>ROW()</f>
        <v>22</v>
      </c>
    </row>
    <row r="23" spans="1:41" ht="13.9" customHeight="1" x14ac:dyDescent="0.2">
      <c r="B23" s="42" t="s">
        <v>401</v>
      </c>
      <c r="H23" s="396" t="s">
        <v>427</v>
      </c>
      <c r="I23" s="392"/>
      <c r="J23" s="392"/>
      <c r="K23" s="392"/>
      <c r="L23" s="392"/>
      <c r="M23" s="314">
        <f>Emissions!L213</f>
        <v>28.296620255000001</v>
      </c>
      <c r="N23" s="315">
        <f>Emissions!M213</f>
        <v>29.793983369000003</v>
      </c>
      <c r="AO23" s="8">
        <f>ROW()</f>
        <v>23</v>
      </c>
    </row>
    <row r="24" spans="1:41" ht="13.9" customHeight="1" x14ac:dyDescent="0.2">
      <c r="B24" s="42" t="s">
        <v>405</v>
      </c>
      <c r="H24" s="392"/>
      <c r="I24" s="392"/>
      <c r="J24" s="392"/>
      <c r="K24" s="392"/>
      <c r="L24" s="392"/>
      <c r="M24" s="314">
        <f>((Emissions!K102*1000000*1000000)/(Emissions!J182*Parameters!$J$14)*'Personal Ground Travel'!K22/1000000000000000)</f>
        <v>17.228903338000286</v>
      </c>
      <c r="N24" s="315">
        <f>M24*'Personal Ground Travel'!N31/'Personal Ground Travel'!M31</f>
        <v>17.221497789876956</v>
      </c>
      <c r="AO24" s="8">
        <f>ROW()</f>
        <v>24</v>
      </c>
    </row>
    <row r="25" spans="1:41" ht="13.9" customHeight="1" x14ac:dyDescent="0.2">
      <c r="B25" s="42" t="s">
        <v>406</v>
      </c>
      <c r="H25" s="392"/>
      <c r="I25" s="392"/>
      <c r="J25" s="392"/>
      <c r="K25" s="392"/>
      <c r="L25" s="392"/>
      <c r="M25" s="314">
        <f>((Emissions!K109*1000000*1000000)/(Emissions!J183*Parameters!$J$14)*Freight!K22/1000000000000000)</f>
        <v>6.201994100212243</v>
      </c>
      <c r="N25" s="315">
        <f>M25*Freight!N31/Freight!M31</f>
        <v>6.4910490861960914</v>
      </c>
      <c r="AO25" s="8">
        <f>ROW()</f>
        <v>25</v>
      </c>
    </row>
    <row r="26" spans="1:41" ht="13.9" customHeight="1" x14ac:dyDescent="0.2">
      <c r="B26" s="42" t="s">
        <v>407</v>
      </c>
      <c r="H26" s="392"/>
      <c r="I26" s="392"/>
      <c r="J26" s="392"/>
      <c r="K26" s="392"/>
      <c r="L26" s="392"/>
      <c r="M26" s="314">
        <f>((Emissions!K106*1000000*1000000)/(Emissions!J189*Parameters!$J$14)*Aviation!K22/1000000000000000)</f>
        <v>2.7634796238244514</v>
      </c>
      <c r="N26" s="315">
        <f>M26*Aviation!N31/Aviation!M31</f>
        <v>2.8377278043449787</v>
      </c>
      <c r="AO26" s="8">
        <f>ROW()</f>
        <v>26</v>
      </c>
    </row>
    <row r="27" spans="1:41" ht="13.9" customHeight="1" x14ac:dyDescent="0.2">
      <c r="B27" s="9" t="s">
        <v>408</v>
      </c>
      <c r="H27" s="110" t="str">
        <f>CONCATENATE("Calculated as Row ",AO22, " less sum of Rows ",AO23, "-",AO26, ".")</f>
        <v>Calculated as Row 22 less sum of Rows 23-26.</v>
      </c>
      <c r="M27" s="316">
        <f>M22-SUM(M23:M26)</f>
        <v>23.924498682963019</v>
      </c>
      <c r="N27" s="317">
        <f>N22-SUM(N23:N26)</f>
        <v>25.178828950581973</v>
      </c>
      <c r="AO27" s="8">
        <f>ROW()</f>
        <v>27</v>
      </c>
    </row>
    <row r="28" spans="1:41" ht="13.9" customHeight="1" x14ac:dyDescent="0.2">
      <c r="B28" s="234" t="s">
        <v>570</v>
      </c>
      <c r="J28" s="299">
        <f>(Summary!J89*IF(Summary!F95="YES",1,0))*(1000000)/'Personal Ground Travel'!$K$22</f>
        <v>47.972587093089665</v>
      </c>
      <c r="K28" s="311" t="s">
        <v>573</v>
      </c>
      <c r="M28" s="94">
        <f>IF(Summary!$J78=1,MAX(0,$J$28*MIN(1,M17)+$J$29*(M17-1)),IF(M17=0,0,($J$28*(1+$J$29/100)^(M17-1))))</f>
        <v>0</v>
      </c>
      <c r="N28" s="94">
        <f>IF(Summary!$J78=1,MAX(0,$J$28*MIN(1,N17)+$J$29*(N17-1)),IF(N17=0,0,($J$28*(1+$J$29/100)^(N17-1))))</f>
        <v>0</v>
      </c>
      <c r="O28" s="94">
        <f>IF(Summary!$J78=1,MAX(0,$J$28*MIN(1,O17)+$J$29*(O17-1)),IF(O17=0,0,($J$28*(1+$J$29/100)^(O17-1))))</f>
        <v>0</v>
      </c>
      <c r="P28" s="94">
        <f>IF(Summary!$J78=1,MAX(0,$J$28*MIN(1,P17)+$J$29*(P17-1)),IF(P17=0,0,($J$28*(1+$J$29/100)^(P17-1))))</f>
        <v>47.972587093089665</v>
      </c>
      <c r="Q28" s="94">
        <f>IF(Summary!$J78=1,MAX(0,$J$28*MIN(1,Q17)+$J$29*(Q17-1)),IF(Q17=0,0,($J$28*(1+$J$29/100)^(Q17-1))))</f>
        <v>52.769845802398635</v>
      </c>
      <c r="R28" s="94">
        <f>IF(Summary!$J78=1,MAX(0,$J$28*MIN(1,R17)+$J$29*(R17-1)),IF(R17=0,0,($J$28*(1+$J$29/100)^(R17-1))))</f>
        <v>58.046830382638504</v>
      </c>
      <c r="S28" s="94">
        <f>IF(Summary!$J78=1,MAX(0,$J$28*MIN(1,S17)+$J$29*(S17-1)),IF(S17=0,0,($J$28*(1+$J$29/100)^(S17-1))))</f>
        <v>63.851513420902364</v>
      </c>
      <c r="T28" s="94">
        <f>IF(Summary!$J78=1,MAX(0,$J$28*MIN(1,T17)+$J$29*(T17-1)),IF(T17=0,0,($J$28*(1+$J$29/100)^(T17-1))))</f>
        <v>70.236664762992604</v>
      </c>
      <c r="U28" s="94">
        <f>IF(Summary!$J78=1,MAX(0,$J$28*MIN(1,U17)+$J$29*(U17-1)),IF(U17=0,0,($J$28*(1+$J$29/100)^(U17-1))))</f>
        <v>77.260331239291858</v>
      </c>
      <c r="V28" s="94">
        <f>IF(Summary!$J78=1,MAX(0,$J$28*MIN(1,V17)+$J$29*(V17-1)),IF(V17=0,0,($J$28*(1+$J$29/100)^(V17-1))))</f>
        <v>84.986364363221057</v>
      </c>
      <c r="W28" s="94">
        <f>IF(Summary!$J78=1,MAX(0,$J$28*MIN(1,W17)+$J$29*(W17-1)),IF(W17=0,0,($J$28*(1+$J$29/100)^(W17-1))))</f>
        <v>93.485000799543172</v>
      </c>
      <c r="X28" s="94">
        <f>IF(Summary!$J78=1,MAX(0,$J$28*MIN(1,X17)+$J$29*(X17-1)),IF(X17=0,0,($J$28*(1+$J$29/100)^(X17-1))))</f>
        <v>102.83350087949749</v>
      </c>
      <c r="Y28" s="94">
        <f>IF(Summary!$J78=1,MAX(0,$J$28*MIN(1,Y17)+$J$29*(Y17-1)),IF(Y17=0,0,($J$28*(1+$J$29/100)^(Y17-1))))</f>
        <v>113.11685096744725</v>
      </c>
      <c r="Z28" s="94">
        <f>IF(Summary!$J78=1,MAX(0,$J$28*MIN(1,Z17)+$J$29*(Z17-1)),IF(Z17=0,0,($J$28*(1+$J$29/100)^(Z17-1))))</f>
        <v>124.42853606419199</v>
      </c>
      <c r="AA28" s="94">
        <f>IF(Summary!$J78=1,MAX(0,$J$28*MIN(1,AA17)+$J$29*(AA17-1)),IF(AA17=0,0,($J$28*(1+$J$29/100)^(AA17-1))))</f>
        <v>136.87138967061119</v>
      </c>
      <c r="AB28" s="94">
        <f>IF(Summary!$J78=1,MAX(0,$J$28*MIN(1,AB17)+$J$29*(AB17-1)),IF(AB17=0,0,($J$28*(1+$J$29/100)^(AB17-1))))</f>
        <v>150.55852863767231</v>
      </c>
      <c r="AC28" s="94">
        <f>IF(Summary!$J78=1,MAX(0,$J$28*MIN(1,AC17)+$J$29*(AC17-1)),IF(AC17=0,0,($J$28*(1+$J$29/100)^(AC17-1))))</f>
        <v>165.61438150143954</v>
      </c>
      <c r="AD28" s="94">
        <f>IF(Summary!$J78=1,MAX(0,$J$28*MIN(1,AD17)+$J$29*(AD17-1)),IF(AD17=0,0,($J$28*(1+$J$29/100)^(AD17-1))))</f>
        <v>182.17581965158354</v>
      </c>
      <c r="AE28" s="94">
        <f>IF(Summary!$J78=1,MAX(0,$J$28*MIN(1,AE17)+$J$29*(AE17-1)),IF(AE17=0,0,($J$28*(1+$J$29/100)^(AE17-1))))</f>
        <v>182.17581965158354</v>
      </c>
      <c r="AF28" s="94">
        <f>IF(Summary!$J78=1,MAX(0,$J$28*MIN(1,AF17)+$J$29*(AF17-1)),IF(AF17=0,0,($J$28*(1+$J$29/100)^(AF17-1))))</f>
        <v>182.17581965158354</v>
      </c>
      <c r="AG28" s="94">
        <f>IF(Summary!$J78=1,MAX(0,$J$28*MIN(1,AG17)+$J$29*(AG17-1)),IF(AG17=0,0,($J$28*(1+$J$29/100)^(AG17-1))))</f>
        <v>182.17581965158354</v>
      </c>
      <c r="AH28" s="94">
        <f>IF(Summary!$J78=1,MAX(0,$J$28*MIN(1,AH17)+$J$29*(AH17-1)),IF(AH17=0,0,($J$28*(1+$J$29/100)^(AH17-1))))</f>
        <v>182.17581965158354</v>
      </c>
      <c r="AI28" s="94">
        <f>IF(Summary!$J78=1,MAX(0,$J$28*MIN(1,AI17)+$J$29*(AI17-1)),IF(AI17=0,0,($J$28*(1+$J$29/100)^(AI17-1))))</f>
        <v>182.17581965158354</v>
      </c>
      <c r="AJ28" s="94">
        <f>IF(Summary!$J78=1,MAX(0,$J$28*MIN(1,AJ17)+$J$29*(AJ17-1)),IF(AJ17=0,0,($J$28*(1+$J$29/100)^(AJ17-1))))</f>
        <v>182.17581965158354</v>
      </c>
      <c r="AK28" s="94">
        <f>IF(Summary!$J78=1,MAX(0,$J$28*MIN(1,AK17)+$J$29*(AK17-1)),IF(AK17=0,0,($J$28*(1+$J$29/100)^(AK17-1))))</f>
        <v>182.17581965158354</v>
      </c>
      <c r="AL28" s="94">
        <f>IF(Summary!$J78=1,MAX(0,$J$28*MIN(1,AL17)+$J$29*(AL17-1)),IF(AL17=0,0,($J$28*(1+$J$29/100)^(AL17-1))))</f>
        <v>182.17581965158354</v>
      </c>
      <c r="AO28" s="8">
        <f>ROW()</f>
        <v>28</v>
      </c>
    </row>
    <row r="29" spans="1:41" ht="13.9" customHeight="1" x14ac:dyDescent="0.2">
      <c r="B29" s="234" t="s">
        <v>537</v>
      </c>
      <c r="J29" s="299">
        <f>IF(Summary!J78=1,MAX(J28*I12/I11, 0.0001),Summary!J85*100*IF(Summary!F95="YES",1,0))</f>
        <v>10</v>
      </c>
      <c r="K29" s="311" t="str">
        <f>IF(Summary!$J$78=1,"¢/MMBtu","%")</f>
        <v>%</v>
      </c>
      <c r="M29"/>
      <c r="AO29" s="8">
        <f>ROW()</f>
        <v>29</v>
      </c>
    </row>
    <row r="30" spans="1:41" ht="13.9" customHeight="1" x14ac:dyDescent="0.2">
      <c r="I30" s="165">
        <v>2005</v>
      </c>
      <c r="K30" s="165">
        <f>K7</f>
        <v>2007</v>
      </c>
      <c r="L30" s="165">
        <f>L7</f>
        <v>2008</v>
      </c>
      <c r="M30" s="165">
        <f>M7</f>
        <v>2009</v>
      </c>
      <c r="N30" s="165">
        <f>N7</f>
        <v>2010</v>
      </c>
      <c r="O30" s="165">
        <f>O7</f>
        <v>2011</v>
      </c>
      <c r="P30" s="165">
        <f t="shared" ref="P30:AL30" si="2">P7</f>
        <v>2012</v>
      </c>
      <c r="Q30" s="165">
        <f t="shared" si="2"/>
        <v>2013</v>
      </c>
      <c r="R30" s="165">
        <f t="shared" si="2"/>
        <v>2014</v>
      </c>
      <c r="S30" s="165">
        <f t="shared" si="2"/>
        <v>2015</v>
      </c>
      <c r="T30" s="165">
        <f t="shared" si="2"/>
        <v>2016</v>
      </c>
      <c r="U30" s="165">
        <f t="shared" si="2"/>
        <v>2017</v>
      </c>
      <c r="V30" s="165">
        <f t="shared" si="2"/>
        <v>2018</v>
      </c>
      <c r="W30" s="165">
        <f t="shared" si="2"/>
        <v>2019</v>
      </c>
      <c r="X30" s="165">
        <f t="shared" si="2"/>
        <v>2020</v>
      </c>
      <c r="Y30" s="165">
        <f t="shared" si="2"/>
        <v>2021</v>
      </c>
      <c r="Z30" s="165">
        <f t="shared" si="2"/>
        <v>2022</v>
      </c>
      <c r="AA30" s="165">
        <f t="shared" si="2"/>
        <v>2023</v>
      </c>
      <c r="AB30" s="165">
        <f t="shared" si="2"/>
        <v>2024</v>
      </c>
      <c r="AC30" s="165">
        <f t="shared" si="2"/>
        <v>2025</v>
      </c>
      <c r="AD30" s="165">
        <f t="shared" si="2"/>
        <v>2026</v>
      </c>
      <c r="AE30" s="165">
        <f t="shared" si="2"/>
        <v>2027</v>
      </c>
      <c r="AF30" s="165">
        <f t="shared" si="2"/>
        <v>2028</v>
      </c>
      <c r="AG30" s="165">
        <f t="shared" si="2"/>
        <v>2029</v>
      </c>
      <c r="AH30" s="165">
        <f t="shared" si="2"/>
        <v>2030</v>
      </c>
      <c r="AI30" s="165">
        <f t="shared" si="2"/>
        <v>2031</v>
      </c>
      <c r="AJ30" s="165">
        <f t="shared" si="2"/>
        <v>2032</v>
      </c>
      <c r="AK30" s="165">
        <f t="shared" si="2"/>
        <v>2033</v>
      </c>
      <c r="AL30" s="165">
        <f t="shared" si="2"/>
        <v>2034</v>
      </c>
      <c r="AO30" s="8">
        <f>ROW()</f>
        <v>30</v>
      </c>
    </row>
    <row r="31" spans="1:41" ht="13.9" customHeight="1" x14ac:dyDescent="0.2">
      <c r="B31" s="42" t="s">
        <v>416</v>
      </c>
      <c r="H31" s="110" t="str">
        <f>CONCATENATE("Copied from Emissions tab, Row ",Emissions!Q112, ".")</f>
        <v>Copied from Emissions tab, Row 112.</v>
      </c>
      <c r="I31" s="79"/>
      <c r="J31" s="79"/>
      <c r="K31" s="79">
        <f>Emissions!I112</f>
        <v>1402.9476500000005</v>
      </c>
      <c r="L31" s="79">
        <f>Emissions!J112</f>
        <v>1375.6542599999993</v>
      </c>
      <c r="M31" s="247">
        <f>Emissions!K112</f>
        <v>1291.9709600000003</v>
      </c>
      <c r="AO31" s="8">
        <f>ROW()</f>
        <v>31</v>
      </c>
    </row>
    <row r="32" spans="1:41" ht="13.9" customHeight="1" x14ac:dyDescent="0.2">
      <c r="B32" s="42" t="s">
        <v>417</v>
      </c>
      <c r="H32" s="110" t="str">
        <f>CONCATENATE("Row ",AO30, " divided by Row ",AO27, ", corrected for dimensions.")</f>
        <v>Row 30 divided by Row 27, corrected for dimensions.</v>
      </c>
      <c r="M32" s="23">
        <f>(M31*1000000000000/Parameters!J17)/(M27*1000000000)</f>
        <v>119.05404760752631</v>
      </c>
      <c r="AO32" s="8">
        <f>ROW()</f>
        <v>32</v>
      </c>
    </row>
    <row r="33" spans="2:41" ht="13.9" customHeight="1" x14ac:dyDescent="0.2">
      <c r="B33" s="42" t="s">
        <v>418</v>
      </c>
      <c r="M33" s="23">
        <f>'Personal Ground Travel'!K25*1000000/'Personal Ground Travel'!K22</f>
        <v>156.47406636100635</v>
      </c>
      <c r="AO33" s="8">
        <f>ROW()</f>
        <v>33</v>
      </c>
    </row>
    <row r="34" spans="2:41" ht="13.9" customHeight="1" x14ac:dyDescent="0.2">
      <c r="B34" s="172" t="s">
        <v>571</v>
      </c>
      <c r="M34" s="309">
        <f>M32/M33</f>
        <v>0.76085482007512284</v>
      </c>
      <c r="AO34" s="8">
        <f>ROW()</f>
        <v>34</v>
      </c>
    </row>
    <row r="35" spans="2:41" ht="13.9" customHeight="1" x14ac:dyDescent="0.2">
      <c r="I35" s="84"/>
      <c r="J35" s="84"/>
      <c r="K35" s="84"/>
      <c r="L35" s="84"/>
      <c r="M35" s="493" t="s">
        <v>572</v>
      </c>
      <c r="AO35" s="8">
        <f>ROW()</f>
        <v>35</v>
      </c>
    </row>
    <row r="36" spans="2:41" ht="13.9" customHeight="1" x14ac:dyDescent="0.2">
      <c r="B36" s="42" t="s">
        <v>419</v>
      </c>
      <c r="J36" s="168"/>
      <c r="K36" s="257">
        <f>((6.16/3.03)/(218.056/130.7))^(1/20)-1</f>
        <v>9.9323449443800005E-3</v>
      </c>
      <c r="M36" s="494"/>
      <c r="AO36" s="8">
        <f>ROW()</f>
        <v>36</v>
      </c>
    </row>
    <row r="37" spans="2:41" ht="13.9" customHeight="1" x14ac:dyDescent="0.2">
      <c r="B37" s="110" t="s">
        <v>420</v>
      </c>
      <c r="L37" s="258"/>
      <c r="M37" s="494"/>
      <c r="AO37" s="8">
        <f>ROW()</f>
        <v>37</v>
      </c>
    </row>
    <row r="38" spans="2:41" ht="13.9" customHeight="1" x14ac:dyDescent="0.2">
      <c r="B38" s="42" t="s">
        <v>421</v>
      </c>
      <c r="K38" s="260">
        <v>1</v>
      </c>
      <c r="L38" s="240"/>
      <c r="M38" s="494"/>
      <c r="AO38" s="8">
        <f>ROW()</f>
        <v>38</v>
      </c>
    </row>
    <row r="39" spans="2:41" ht="13.9" customHeight="1" x14ac:dyDescent="0.2">
      <c r="B39" s="110" t="s">
        <v>367</v>
      </c>
      <c r="K39" s="8"/>
      <c r="L39" s="240"/>
      <c r="M39" s="495"/>
      <c r="AO39" s="8">
        <f>ROW()</f>
        <v>39</v>
      </c>
    </row>
    <row r="40" spans="2:41" ht="13.9" customHeight="1" x14ac:dyDescent="0.2">
      <c r="B40" s="42" t="s">
        <v>422</v>
      </c>
      <c r="K40" s="257">
        <f>K36*K38</f>
        <v>9.9323449443800005E-3</v>
      </c>
      <c r="L40" s="240"/>
      <c r="M40" s="240"/>
      <c r="AO40" s="8">
        <f>ROW()</f>
        <v>40</v>
      </c>
    </row>
    <row r="41" spans="2:41" ht="13.9" customHeight="1" x14ac:dyDescent="0.2">
      <c r="B41" s="110" t="str">
        <f>CONCATENATE("Product of Rows ",AO36, " and ",AO38, ".")</f>
        <v>Product of Rows 36 and 38.</v>
      </c>
      <c r="L41" s="110"/>
      <c r="M41" s="110"/>
      <c r="AO41" s="8">
        <f>ROW()</f>
        <v>41</v>
      </c>
    </row>
    <row r="42" spans="2:41" ht="13.9" customHeight="1" x14ac:dyDescent="0.2">
      <c r="B42" s="42" t="s">
        <v>423</v>
      </c>
      <c r="I42" s="166"/>
      <c r="J42" s="166"/>
      <c r="K42" s="166"/>
      <c r="L42" s="166"/>
      <c r="M42" s="247">
        <f>M27</f>
        <v>23.924498682963019</v>
      </c>
      <c r="N42" s="247">
        <f>N27</f>
        <v>25.178828950581973</v>
      </c>
      <c r="O42" s="247">
        <f>N42*((1+Parameters!$J$7)^Parameters!$G$48)*(1+$K$40)^Parameters!$F$48</f>
        <v>25.298598973438782</v>
      </c>
      <c r="P42" s="247">
        <f>O42*((1+Parameters!$J$8)^Parameters!$G$48)*((1+Parameters!$J$9)^Parameters!$G$48)^(P7-2012)*((1+$K$40)^Parameters!$F$48)^(P7-2011)</f>
        <v>25.456568533731485</v>
      </c>
      <c r="Q42" s="247">
        <f>P42*((1+Parameters!$J$9)^Parameters!$G$48)*(1+$K$40)^Parameters!$F$48</f>
        <v>25.710104969385117</v>
      </c>
      <c r="R42" s="247">
        <f>Q42*((1+Parameters!$J$9)^Parameters!$G$48)*(1+$K$40)^Parameters!$F$48</f>
        <v>25.966166518512658</v>
      </c>
      <c r="S42" s="247">
        <f>R42*((1+Parameters!$J$9)^Parameters!$G$48)*(1+$K$40)^Parameters!$F$48</f>
        <v>26.224778330154479</v>
      </c>
      <c r="T42" s="247">
        <f>S42*((1+Parameters!$J$9)^Parameters!$G$48)*(1+$K$40)^Parameters!$F$48</f>
        <v>26.485965803824534</v>
      </c>
      <c r="U42" s="247">
        <f>T42*((1+Parameters!$J$9)^Parameters!$G$48)*(1+$K$40)^Parameters!$F$48</f>
        <v>26.749754592004987</v>
      </c>
      <c r="V42" s="247">
        <f>U42*((1+Parameters!$J$9)^Parameters!$G$48)*(1+$K$40)^Parameters!$F$48</f>
        <v>27.016170602665646</v>
      </c>
      <c r="W42" s="247">
        <f>V42*((1+Parameters!$J$9)^Parameters!$G$48)*(1+$K$40)^Parameters!$F$48</f>
        <v>27.285240001808511</v>
      </c>
      <c r="X42" s="247">
        <f>W42*((1+Parameters!$J$9)^Parameters!$G$48)*(1+$K$40)^Parameters!$F$48</f>
        <v>27.556989216037678</v>
      </c>
      <c r="Y42" s="247">
        <f>X42*((1+Parameters!$J$9)^Parameters!$G$48)*(1+$K$40)^Parameters!$F$48</f>
        <v>27.831444935154806</v>
      </c>
      <c r="Z42" s="247">
        <f>Y42*((1+Parameters!$J$9)^Parameters!$G$48)*(1+$K$40)^Parameters!$F$48</f>
        <v>28.108634114780472</v>
      </c>
      <c r="AA42" s="247">
        <f>Z42*((1+Parameters!$J$9)^Parameters!$G$48)*(1+$K$40)^Parameters!$F$48</f>
        <v>28.388583979001581</v>
      </c>
      <c r="AB42" s="247">
        <f>AA42*((1+Parameters!$J$9)^Parameters!$G$48)*(1+$K$40)^Parameters!$F$48</f>
        <v>28.671322023045214</v>
      </c>
      <c r="AC42" s="247">
        <f>AB42*((1+Parameters!$J$9)^Parameters!$G$48)*(1+$K$40)^Parameters!$F$48</f>
        <v>28.956876015979031</v>
      </c>
      <c r="AD42" s="247">
        <f>AC42*((1+Parameters!$J$9)^Parameters!$G$48)*(1+$K$40)^Parameters!$F$48</f>
        <v>29.245274003438627</v>
      </c>
      <c r="AE42" s="247">
        <f>AD42*((1+Parameters!$J$9)^Parameters!$G$48)*(1+$K$40)^Parameters!$F$48</f>
        <v>29.536544310382027</v>
      </c>
      <c r="AF42" s="247">
        <f>AE42*((1+Parameters!$J$9)^Parameters!$G$48)*(1+$K$40)^Parameters!$F$48</f>
        <v>29.830715543871609</v>
      </c>
      <c r="AG42" s="247">
        <f>AF42*((1+Parameters!$J$9)^Parameters!$G$48)*(1+$K$40)^Parameters!$F$48</f>
        <v>30.127816595883743</v>
      </c>
      <c r="AH42" s="247">
        <f>AG42*((1+Parameters!$J$9)^Parameters!$G$48)*(1+$K$40)^Parameters!$F$48</f>
        <v>30.427876646146419</v>
      </c>
      <c r="AI42" s="247">
        <f>AH42*((1+Parameters!$J$9)^Parameters!$G$48)*(1+$K$40)^Parameters!$F$48</f>
        <v>30.730925165005122</v>
      </c>
      <c r="AJ42" s="247">
        <f>AI42*((1+Parameters!$J$9)^Parameters!$G$48)*(1+$K$40)^Parameters!$F$48</f>
        <v>31.036991916317255</v>
      </c>
      <c r="AK42" s="247">
        <f>AJ42*((1+Parameters!$J$9)^Parameters!$G$48)*(1+$K$40)^Parameters!$F$48</f>
        <v>31.346106960375405</v>
      </c>
      <c r="AL42" s="247">
        <f>AK42*((1+Parameters!$J$9)^Parameters!$G$48)*(1+$K$40)^Parameters!$F$48</f>
        <v>31.658300656859687</v>
      </c>
      <c r="AO42" s="8">
        <f>ROW()</f>
        <v>42</v>
      </c>
    </row>
    <row r="43" spans="2:41" ht="13.9" customHeight="1" x14ac:dyDescent="0.2">
      <c r="B43" s="396" t="str">
        <f>CONCATENATE("2005-2010 figures are from Row ",AO34,". Figure for 2011 applies income-elasticity for 'other' fuel given in 'Parameters' page, Row ",Parameters!$O$48," to assumed GDP growth rate given in Row ",Parameters!$O$7," from same tab. Similarly for 2012 and after, except Row ",Parameters!$O$8, " in 'Parameters' page is used.")</f>
        <v>2005-2010 figures are from Row 34. Figure for 2011 applies income-elasticity for 'other' fuel given in 'Parameters' page, Row 48 to assumed GDP growth rate given in Row 7 from same tab. Similarly for 2012 and after, except Row 8 in 'Parameters' page is used.</v>
      </c>
      <c r="C43" s="392"/>
      <c r="D43" s="392"/>
      <c r="E43" s="392"/>
      <c r="F43" s="392"/>
      <c r="G43" s="392"/>
      <c r="H43" s="392"/>
      <c r="I43" s="392"/>
      <c r="J43" s="392"/>
      <c r="K43" s="392"/>
      <c r="L43" s="392"/>
      <c r="M43" s="423"/>
      <c r="AO43" s="8">
        <f>ROW()</f>
        <v>43</v>
      </c>
    </row>
    <row r="44" spans="2:41" ht="13.9" customHeight="1" x14ac:dyDescent="0.2">
      <c r="B44" s="392"/>
      <c r="C44" s="392"/>
      <c r="D44" s="392"/>
      <c r="E44" s="392"/>
      <c r="F44" s="392"/>
      <c r="G44" s="392"/>
      <c r="H44" s="392"/>
      <c r="I44" s="392"/>
      <c r="J44" s="392"/>
      <c r="K44" s="392"/>
      <c r="L44" s="392"/>
      <c r="M44" s="423"/>
      <c r="AO44" s="8">
        <f>ROW()</f>
        <v>44</v>
      </c>
    </row>
    <row r="45" spans="2:41" ht="13.9" customHeight="1" x14ac:dyDescent="0.2">
      <c r="L45" s="7"/>
      <c r="M45" s="7">
        <f>M46/M42</f>
        <v>54.002007612390706</v>
      </c>
      <c r="AO45" s="8">
        <f>ROW()</f>
        <v>45</v>
      </c>
    </row>
    <row r="46" spans="2:41" ht="13.9" customHeight="1" x14ac:dyDescent="0.2">
      <c r="B46" t="s">
        <v>193</v>
      </c>
      <c r="I46" s="45"/>
      <c r="J46" s="28"/>
      <c r="K46" s="45">
        <f>Emissions!I112</f>
        <v>1402.9476500000005</v>
      </c>
      <c r="L46" s="45">
        <f>Emissions!J112</f>
        <v>1375.6542599999993</v>
      </c>
      <c r="M46" s="247">
        <f>Emissions!K112</f>
        <v>1291.9709600000003</v>
      </c>
      <c r="N46" s="247">
        <f t="shared" ref="N46:AL46" si="3">N42*$M$45</f>
        <v>1359.7073126604112</v>
      </c>
      <c r="O46" s="247">
        <f t="shared" si="3"/>
        <v>1366.1751343464607</v>
      </c>
      <c r="P46" s="247">
        <f t="shared" si="3"/>
        <v>1374.7058077439133</v>
      </c>
      <c r="Q46" s="247">
        <f t="shared" si="3"/>
        <v>1388.3972842720991</v>
      </c>
      <c r="R46" s="247">
        <f t="shared" si="3"/>
        <v>1402.2251219973252</v>
      </c>
      <c r="S46" s="247">
        <f t="shared" si="3"/>
        <v>1416.1906790182609</v>
      </c>
      <c r="T46" s="247">
        <f t="shared" si="3"/>
        <v>1430.2953269596524</v>
      </c>
      <c r="U46" s="247">
        <f t="shared" si="3"/>
        <v>1444.5404511070365</v>
      </c>
      <c r="V46" s="247">
        <f t="shared" si="3"/>
        <v>1458.9274505427961</v>
      </c>
      <c r="W46" s="247">
        <f t="shared" si="3"/>
        <v>1473.4577382835705</v>
      </c>
      <c r="X46" s="247">
        <f t="shared" si="3"/>
        <v>1488.1327414190353</v>
      </c>
      <c r="Y46" s="247">
        <f t="shared" si="3"/>
        <v>1502.9539012520627</v>
      </c>
      <c r="Z46" s="247">
        <f t="shared" si="3"/>
        <v>1517.9226734402801</v>
      </c>
      <c r="AA46" s="247">
        <f t="shared" si="3"/>
        <v>1533.0405281390363</v>
      </c>
      <c r="AB46" s="247">
        <f t="shared" si="3"/>
        <v>1548.308950145793</v>
      </c>
      <c r="AC46" s="247">
        <f t="shared" si="3"/>
        <v>1563.7294390459535</v>
      </c>
      <c r="AD46" s="247">
        <f t="shared" si="3"/>
        <v>1579.3035093601447</v>
      </c>
      <c r="AE46" s="247">
        <f t="shared" si="3"/>
        <v>1595.0326906929656</v>
      </c>
      <c r="AF46" s="247">
        <f t="shared" si="3"/>
        <v>1610.9185278832165</v>
      </c>
      <c r="AG46" s="247">
        <f t="shared" si="3"/>
        <v>1626.962581155625</v>
      </c>
      <c r="AH46" s="247">
        <f t="shared" si="3"/>
        <v>1643.1664262740844</v>
      </c>
      <c r="AI46" s="247">
        <f t="shared" si="3"/>
        <v>1659.5316546964157</v>
      </c>
      <c r="AJ46" s="247">
        <f t="shared" si="3"/>
        <v>1676.0598737306732</v>
      </c>
      <c r="AK46" s="247">
        <f t="shared" si="3"/>
        <v>1692.7527066930058</v>
      </c>
      <c r="AL46" s="247">
        <f t="shared" si="3"/>
        <v>1709.6117930670905</v>
      </c>
      <c r="AO46" s="8">
        <f>ROW()</f>
        <v>46</v>
      </c>
    </row>
    <row r="47" spans="2:41" ht="13.9" customHeight="1" x14ac:dyDescent="0.2">
      <c r="B47" s="110" t="str">
        <f>CONCATENATE("2007-09 are from 'Emissions' tab, Rows ",Emissions!Q112,". 2010 figure prorates 2009 by respective figures in Row ",AO27,"")</f>
        <v>2007-09 are from 'Emissions' tab, Rows 112. 2010 figure prorates 2009 by respective figures in Row 27</v>
      </c>
      <c r="M47" s="84"/>
      <c r="AO47" s="8">
        <f>ROW()</f>
        <v>47</v>
      </c>
    </row>
    <row r="48" spans="2:41" ht="13.9" customHeight="1" x14ac:dyDescent="0.2">
      <c r="B48" s="66" t="s">
        <v>37</v>
      </c>
      <c r="F48" s="261">
        <v>10</v>
      </c>
      <c r="G48" s="103" t="s">
        <v>54</v>
      </c>
      <c r="I48" s="67">
        <v>0.01</v>
      </c>
      <c r="J48" s="67"/>
      <c r="M48" s="84"/>
      <c r="AO48" s="8">
        <f>ROW()</f>
        <v>48</v>
      </c>
    </row>
    <row r="49" spans="1:41" ht="13.9" customHeight="1" x14ac:dyDescent="0.2">
      <c r="B49" s="3" t="s">
        <v>140</v>
      </c>
      <c r="H49" s="5"/>
      <c r="I49" s="5"/>
      <c r="J49" s="5"/>
      <c r="M49" s="84"/>
      <c r="AO49" s="8">
        <f>ROW()</f>
        <v>49</v>
      </c>
    </row>
    <row r="50" spans="1:41" ht="13.9" customHeight="1" x14ac:dyDescent="0.2">
      <c r="B50" t="s">
        <v>211</v>
      </c>
      <c r="F50" s="36"/>
      <c r="G50" s="34"/>
      <c r="K50" s="23"/>
      <c r="L50" s="23"/>
      <c r="M50" s="23"/>
      <c r="N50" s="86">
        <f>N19*N55*(1/Parameters!$J$15)+N28/100</f>
        <v>0</v>
      </c>
      <c r="O50" s="86">
        <f>O19*O55*(1/Parameters!$J$15)+O28/100</f>
        <v>0</v>
      </c>
      <c r="P50" s="86">
        <f>P19*P55*(1/Parameters!$J$15)+P28/100</f>
        <v>1.069043406588152</v>
      </c>
      <c r="Q50" s="86">
        <f>Q19*Q55*(1/Parameters!$J$15)+Q28/100</f>
        <v>1.17529656222584</v>
      </c>
      <c r="R50" s="86">
        <f>R19*R55*(1/Parameters!$J$15)+R28/100</f>
        <v>1.2920391156223343</v>
      </c>
      <c r="S50" s="86">
        <f>S19*S55*(1/Parameters!$J$15)+S28/100</f>
        <v>1.4202917376659803</v>
      </c>
      <c r="T50" s="86">
        <f>T19*T55*(1/Parameters!$J$15)+T28/100</f>
        <v>1.5611713199455908</v>
      </c>
      <c r="U50" s="86">
        <f>U19*U55*(1/Parameters!$J$15)+U28/100</f>
        <v>1.7158993986329649</v>
      </c>
      <c r="V50" s="86">
        <f>V19*V55*(1/Parameters!$J$15)+V28/100</f>
        <v>1.8858111787959322</v>
      </c>
      <c r="W50" s="86">
        <f>W19*W55*(1/Parameters!$J$15)+W28/100</f>
        <v>2.0723651715163123</v>
      </c>
      <c r="X50" s="86">
        <f>X19*X55*(1/Parameters!$J$15)+X28/100</f>
        <v>2.2771534484288312</v>
      </c>
      <c r="Y50" s="86">
        <f>Y19*Y55*(1/Parameters!$J$15)+Y28/100</f>
        <v>2.5019125081979641</v>
      </c>
      <c r="Z50" s="86">
        <f>Z19*Z55*(1/Parameters!$J$15)+Z28/100</f>
        <v>2.7485347365490984</v>
      </c>
      <c r="AA50" s="86">
        <f>AA19*AA55*(1/Parameters!$J$15)+AA28/100</f>
        <v>3.0190804252454013</v>
      </c>
      <c r="AB50" s="86">
        <f>AB19*AB55*(1/Parameters!$J$15)+AB28/100</f>
        <v>3.3157902952665577</v>
      </c>
      <c r="AC50" s="86">
        <f>AC19*AC55*(1/Parameters!$J$15)+AC28/100</f>
        <v>3.6410984447554409</v>
      </c>
      <c r="AD50" s="86">
        <f>AD19*AD55*(1/Parameters!$J$15)+AD28/100</f>
        <v>3.9976456123588022</v>
      </c>
      <c r="AE50" s="86">
        <f>AE19*AE55*(1/Parameters!$J$15)+AE28/100</f>
        <v>3.9976456123588022</v>
      </c>
      <c r="AF50" s="86">
        <f>AF19*AF55*(1/Parameters!$J$15)+AF28/100</f>
        <v>3.9976456123588022</v>
      </c>
      <c r="AG50" s="86">
        <f>AG19*AG55*(1/Parameters!$J$15)+AG28/100</f>
        <v>3.9976456123588022</v>
      </c>
      <c r="AH50" s="86">
        <f>AH19*AH55*(1/Parameters!$J$15)+AH28/100</f>
        <v>3.9976456123588022</v>
      </c>
      <c r="AI50" s="86">
        <f>AI19*AI55*(1/Parameters!$J$15)+AI28/100</f>
        <v>3.9976456123588022</v>
      </c>
      <c r="AJ50" s="86">
        <f>AJ19*AJ55*(1/Parameters!$J$15)+AJ28/100</f>
        <v>3.9976456123588022</v>
      </c>
      <c r="AK50" s="86">
        <f>AK19*AK55*(1/Parameters!$J$15)+AK28/100</f>
        <v>3.9976456123588022</v>
      </c>
      <c r="AL50" s="86">
        <f>AL19*AL55*(1/Parameters!$J$15)+AL28/100</f>
        <v>3.9976456123588022</v>
      </c>
      <c r="AO50" s="8">
        <f>ROW()</f>
        <v>50</v>
      </c>
    </row>
    <row r="51" spans="1:41" ht="13.9" customHeight="1" x14ac:dyDescent="0.2">
      <c r="B51" s="42" t="s">
        <v>536</v>
      </c>
      <c r="K51" s="265">
        <f>SUMPRODUCT(K53:M53,K54:M54)/SUM(K53:M53)</f>
        <v>7.9329470610165282</v>
      </c>
      <c r="L51" s="33"/>
      <c r="M51" s="91"/>
      <c r="N51" s="91"/>
      <c r="O51" s="91"/>
      <c r="P51" s="33">
        <f t="shared" ref="P51:AL51" si="4">$K$51+P50</f>
        <v>9.0019904676046796</v>
      </c>
      <c r="Q51" s="33">
        <f t="shared" si="4"/>
        <v>9.1082436232423678</v>
      </c>
      <c r="R51" s="33">
        <f t="shared" si="4"/>
        <v>9.224986176638863</v>
      </c>
      <c r="S51" s="33">
        <f t="shared" si="4"/>
        <v>9.3532387986825078</v>
      </c>
      <c r="T51" s="33">
        <f t="shared" si="4"/>
        <v>9.494118380962119</v>
      </c>
      <c r="U51" s="33">
        <f t="shared" si="4"/>
        <v>9.6488464596494925</v>
      </c>
      <c r="V51" s="33">
        <f t="shared" si="4"/>
        <v>9.8187582398124604</v>
      </c>
      <c r="W51" s="33">
        <f t="shared" si="4"/>
        <v>10.005312232532841</v>
      </c>
      <c r="X51" s="33">
        <f t="shared" si="4"/>
        <v>10.210100509445359</v>
      </c>
      <c r="Y51" s="33">
        <f t="shared" si="4"/>
        <v>10.434859569214492</v>
      </c>
      <c r="Z51" s="33">
        <f t="shared" si="4"/>
        <v>10.681481797565628</v>
      </c>
      <c r="AA51" s="33">
        <f t="shared" si="4"/>
        <v>10.95202748626193</v>
      </c>
      <c r="AB51" s="33">
        <f t="shared" si="4"/>
        <v>11.248737356283087</v>
      </c>
      <c r="AC51" s="33">
        <f t="shared" si="4"/>
        <v>11.57404550577197</v>
      </c>
      <c r="AD51" s="33">
        <f t="shared" si="4"/>
        <v>11.93059267337533</v>
      </c>
      <c r="AE51" s="33">
        <f t="shared" si="4"/>
        <v>11.93059267337533</v>
      </c>
      <c r="AF51" s="33">
        <f t="shared" si="4"/>
        <v>11.93059267337533</v>
      </c>
      <c r="AG51" s="33">
        <f t="shared" si="4"/>
        <v>11.93059267337533</v>
      </c>
      <c r="AH51" s="33">
        <f t="shared" si="4"/>
        <v>11.93059267337533</v>
      </c>
      <c r="AI51" s="33">
        <f t="shared" si="4"/>
        <v>11.93059267337533</v>
      </c>
      <c r="AJ51" s="33">
        <f t="shared" si="4"/>
        <v>11.93059267337533</v>
      </c>
      <c r="AK51" s="33">
        <f t="shared" si="4"/>
        <v>11.93059267337533</v>
      </c>
      <c r="AL51" s="33">
        <f t="shared" si="4"/>
        <v>11.93059267337533</v>
      </c>
      <c r="AO51" s="8">
        <f>ROW()</f>
        <v>51</v>
      </c>
    </row>
    <row r="52" spans="1:41" ht="13.9" customHeight="1" x14ac:dyDescent="0.2">
      <c r="B52" s="110" t="s">
        <v>141</v>
      </c>
      <c r="E52" s="318"/>
      <c r="F52" s="319"/>
      <c r="G52" s="319"/>
      <c r="H52" s="320"/>
      <c r="I52" s="320"/>
      <c r="J52" s="320"/>
      <c r="K52" s="321" t="s">
        <v>102</v>
      </c>
      <c r="L52" s="321" t="s">
        <v>103</v>
      </c>
      <c r="M52" s="322" t="s">
        <v>101</v>
      </c>
      <c r="AO52" s="8">
        <f>ROW()</f>
        <v>52</v>
      </c>
    </row>
    <row r="53" spans="1:41" ht="13.9" customHeight="1" x14ac:dyDescent="0.2">
      <c r="B53" s="3"/>
      <c r="E53" s="323" t="s">
        <v>424</v>
      </c>
      <c r="F53" s="324"/>
      <c r="G53" s="324"/>
      <c r="H53" s="325"/>
      <c r="I53" s="325"/>
      <c r="J53" s="325"/>
      <c r="K53" s="324">
        <v>4955</v>
      </c>
      <c r="L53" s="324">
        <v>3207</v>
      </c>
      <c r="M53" s="326">
        <v>7932</v>
      </c>
      <c r="AO53" s="8">
        <f>ROW()</f>
        <v>53</v>
      </c>
    </row>
    <row r="54" spans="1:41" ht="13.9" customHeight="1" x14ac:dyDescent="0.2">
      <c r="B54" s="3"/>
      <c r="E54" s="327" t="s">
        <v>425</v>
      </c>
      <c r="F54" s="328"/>
      <c r="G54" s="328"/>
      <c r="H54" s="329"/>
      <c r="I54" s="329"/>
      <c r="J54" s="329"/>
      <c r="K54" s="330">
        <v>11.2</v>
      </c>
      <c r="L54" s="330">
        <v>9.15</v>
      </c>
      <c r="M54" s="331">
        <v>5.4</v>
      </c>
      <c r="AO54" s="8">
        <f>ROW()</f>
        <v>54</v>
      </c>
    </row>
    <row r="55" spans="1:41" ht="13.9" customHeight="1" x14ac:dyDescent="0.2">
      <c r="B55" t="s">
        <v>213</v>
      </c>
      <c r="I55" s="19"/>
      <c r="J55" s="19"/>
      <c r="K55" s="19">
        <f>M32</f>
        <v>119.05404760752631</v>
      </c>
      <c r="L55" s="19"/>
      <c r="M55" s="180">
        <f>$K$55*(1-$I$48)^(M18/$F$48)</f>
        <v>119.05404760752631</v>
      </c>
      <c r="N55" s="180"/>
      <c r="O55" s="180"/>
      <c r="P55" s="8">
        <f t="shared" ref="P55:AL55" si="5">$K$55*(1-$I$48)^(P18/$F$48)</f>
        <v>117.86350713145104</v>
      </c>
      <c r="Q55" s="8">
        <f t="shared" si="5"/>
        <v>117.74510985488249</v>
      </c>
      <c r="R55" s="8">
        <f t="shared" si="5"/>
        <v>117.61501021420645</v>
      </c>
      <c r="S55" s="8">
        <f t="shared" si="5"/>
        <v>117.47206663515496</v>
      </c>
      <c r="T55" s="8">
        <f t="shared" si="5"/>
        <v>117.31502934439786</v>
      </c>
      <c r="U55" s="8">
        <f t="shared" si="5"/>
        <v>117.14253078093843</v>
      </c>
      <c r="V55" s="8">
        <f t="shared" si="5"/>
        <v>116.9530753006779</v>
      </c>
      <c r="W55" s="8">
        <f t="shared" si="5"/>
        <v>116.74502815425389</v>
      </c>
      <c r="X55" s="8">
        <f t="shared" si="5"/>
        <v>116.51660372623945</v>
      </c>
      <c r="Y55" s="8">
        <f t="shared" si="5"/>
        <v>116.26585303443787</v>
      </c>
      <c r="Z55" s="8">
        <f t="shared" si="5"/>
        <v>115.99065050191467</v>
      </c>
      <c r="AA55" s="8">
        <f t="shared" si="5"/>
        <v>115.68868003226078</v>
      </c>
      <c r="AB55" s="8">
        <f t="shared" si="5"/>
        <v>115.35742044119021</v>
      </c>
      <c r="AC55" s="8">
        <f t="shared" si="5"/>
        <v>114.99413032588133</v>
      </c>
      <c r="AD55" s="8">
        <f t="shared" si="5"/>
        <v>114.59583248854861</v>
      </c>
      <c r="AE55" s="8">
        <f t="shared" si="5"/>
        <v>114.59583248854861</v>
      </c>
      <c r="AF55" s="8">
        <f t="shared" si="5"/>
        <v>114.59583248854861</v>
      </c>
      <c r="AG55" s="8">
        <f t="shared" si="5"/>
        <v>114.59583248854861</v>
      </c>
      <c r="AH55" s="8">
        <f t="shared" si="5"/>
        <v>114.59583248854861</v>
      </c>
      <c r="AI55" s="8">
        <f t="shared" si="5"/>
        <v>114.59583248854861</v>
      </c>
      <c r="AJ55" s="8">
        <f t="shared" si="5"/>
        <v>114.59583248854861</v>
      </c>
      <c r="AK55" s="8">
        <f t="shared" si="5"/>
        <v>114.59583248854861</v>
      </c>
      <c r="AL55" s="8">
        <f t="shared" si="5"/>
        <v>114.59583248854861</v>
      </c>
      <c r="AO55" s="8">
        <f>ROW()</f>
        <v>55</v>
      </c>
    </row>
    <row r="56" spans="1:41" ht="13.9" customHeight="1" x14ac:dyDescent="0.2">
      <c r="B56" s="110" t="str">
        <f>CONCATENATE("Figures reduce baseline emission factor by percentage calculated from Cell I",AO48, " normalized by Cell F",AO48, ".")</f>
        <v>Figures reduce baseline emission factor by percentage calculated from Cell I48 normalized by Cell F48.</v>
      </c>
      <c r="C56" s="9"/>
      <c r="D56" s="9"/>
      <c r="E56" s="9"/>
      <c r="F56" s="9"/>
      <c r="G56" s="9"/>
      <c r="K56" s="35"/>
      <c r="L56" s="35"/>
      <c r="M56" s="84"/>
      <c r="AO56" s="8">
        <f>ROW()</f>
        <v>56</v>
      </c>
    </row>
    <row r="57" spans="1:41" s="9" customFormat="1" ht="13.9" customHeight="1" x14ac:dyDescent="0.2">
      <c r="I57" s="26"/>
      <c r="J57" s="26"/>
      <c r="K57" s="14">
        <f t="shared" ref="K57:P57" si="6">K7</f>
        <v>2007</v>
      </c>
      <c r="L57" s="14">
        <f t="shared" si="6"/>
        <v>2008</v>
      </c>
      <c r="M57" s="14">
        <f t="shared" si="6"/>
        <v>2009</v>
      </c>
      <c r="N57" s="14">
        <f t="shared" si="6"/>
        <v>2010</v>
      </c>
      <c r="O57" s="14">
        <f t="shared" si="6"/>
        <v>2011</v>
      </c>
      <c r="P57" s="14">
        <f t="shared" si="6"/>
        <v>2012</v>
      </c>
      <c r="Q57" s="14">
        <f t="shared" ref="Q57:AL57" si="7">Q7</f>
        <v>2013</v>
      </c>
      <c r="R57" s="14">
        <f t="shared" si="7"/>
        <v>2014</v>
      </c>
      <c r="S57" s="14">
        <f t="shared" si="7"/>
        <v>2015</v>
      </c>
      <c r="T57" s="14">
        <f t="shared" si="7"/>
        <v>2016</v>
      </c>
      <c r="U57" s="14">
        <f t="shared" si="7"/>
        <v>2017</v>
      </c>
      <c r="V57" s="14">
        <f t="shared" si="7"/>
        <v>2018</v>
      </c>
      <c r="W57" s="14">
        <f t="shared" si="7"/>
        <v>2019</v>
      </c>
      <c r="X57" s="14">
        <f t="shared" si="7"/>
        <v>2020</v>
      </c>
      <c r="Y57" s="14">
        <f t="shared" si="7"/>
        <v>2021</v>
      </c>
      <c r="Z57" s="14">
        <f t="shared" si="7"/>
        <v>2022</v>
      </c>
      <c r="AA57" s="14">
        <f t="shared" si="7"/>
        <v>2023</v>
      </c>
      <c r="AB57" s="14">
        <f t="shared" si="7"/>
        <v>2024</v>
      </c>
      <c r="AC57" s="14">
        <f t="shared" si="7"/>
        <v>2025</v>
      </c>
      <c r="AD57" s="14">
        <f t="shared" si="7"/>
        <v>2026</v>
      </c>
      <c r="AE57" s="14">
        <f t="shared" si="7"/>
        <v>2027</v>
      </c>
      <c r="AF57" s="14">
        <f t="shared" si="7"/>
        <v>2028</v>
      </c>
      <c r="AG57" s="14">
        <f t="shared" si="7"/>
        <v>2029</v>
      </c>
      <c r="AH57" s="14">
        <f t="shared" si="7"/>
        <v>2030</v>
      </c>
      <c r="AI57" s="14">
        <f t="shared" si="7"/>
        <v>2031</v>
      </c>
      <c r="AJ57" s="14">
        <f t="shared" si="7"/>
        <v>2032</v>
      </c>
      <c r="AK57" s="14">
        <f t="shared" si="7"/>
        <v>2033</v>
      </c>
      <c r="AL57" s="14">
        <f t="shared" si="7"/>
        <v>2034</v>
      </c>
      <c r="AO57" s="8">
        <f>ROW()</f>
        <v>57</v>
      </c>
    </row>
    <row r="58" spans="1:41" s="9" customFormat="1" ht="13.9" customHeight="1" x14ac:dyDescent="0.2">
      <c r="B58" s="9" t="s">
        <v>574</v>
      </c>
      <c r="H58" s="26"/>
      <c r="I58" s="26"/>
      <c r="J58" s="26"/>
      <c r="M58" s="135"/>
      <c r="N58" s="457" t="str">
        <f>CONCATENATE("Initial row in this block is derived through a calculation on Row ",AO126, ". Remaining rows employ Rows ",AO17, ", ",AO18,",  ",AO31,", ",AO42, ", ",AO46, ", and ",AO55, ".")</f>
        <v>Initial row in this block is derived through a calculation on Row 126. Remaining rows employ Rows 17, 18,  31, 42, 46, and 55.</v>
      </c>
      <c r="O58" s="477"/>
      <c r="P58" s="27">
        <f t="shared" ref="P58:AL58" si="8">P126*P42*1000</f>
        <v>-160.40489057773098</v>
      </c>
      <c r="Q58" s="27">
        <f t="shared" si="8"/>
        <v>-337.87459510963805</v>
      </c>
      <c r="R58" s="27">
        <f t="shared" si="8"/>
        <v>-533.84087918348223</v>
      </c>
      <c r="S58" s="27">
        <f t="shared" si="8"/>
        <v>-749.807789216625</v>
      </c>
      <c r="T58" s="27">
        <f t="shared" si="8"/>
        <v>-987.3459560236555</v>
      </c>
      <c r="U58" s="27">
        <f t="shared" si="8"/>
        <v>-1248.0846641339144</v>
      </c>
      <c r="V58" s="27">
        <f t="shared" si="8"/>
        <v>-1533.7014100329177</v>
      </c>
      <c r="W58" s="27">
        <f t="shared" si="8"/>
        <v>-1845.9086913805156</v>
      </c>
      <c r="X58" s="27">
        <f t="shared" si="8"/>
        <v>-2186.4378044720734</v>
      </c>
      <c r="Y58" s="27">
        <f t="shared" si="8"/>
        <v>-2557.0194814727911</v>
      </c>
      <c r="Z58" s="27">
        <f t="shared" si="8"/>
        <v>-2799.887829637868</v>
      </c>
      <c r="AA58" s="27">
        <f t="shared" si="8"/>
        <v>-3062.2910409836254</v>
      </c>
      <c r="AB58" s="27">
        <f t="shared" si="8"/>
        <v>-3345.1990498590594</v>
      </c>
      <c r="AC58" s="27">
        <f t="shared" si="8"/>
        <v>-3647.2837331839378</v>
      </c>
      <c r="AD58" s="27">
        <f t="shared" si="8"/>
        <v>-3967.0967243224309</v>
      </c>
      <c r="AE58" s="27">
        <f t="shared" si="8"/>
        <v>-4303.0766578537869</v>
      </c>
      <c r="AF58" s="27">
        <f t="shared" si="8"/>
        <v>-4653.5570520636611</v>
      </c>
      <c r="AG58" s="27">
        <f t="shared" si="8"/>
        <v>-5016.7747101582381</v>
      </c>
      <c r="AH58" s="27">
        <f t="shared" si="8"/>
        <v>-5390.8785054080772</v>
      </c>
      <c r="AI58" s="27">
        <f t="shared" si="8"/>
        <v>-5773.938400375856</v>
      </c>
      <c r="AJ58" s="27">
        <f t="shared" si="8"/>
        <v>-6163.9545365415215</v>
      </c>
      <c r="AK58" s="27">
        <f t="shared" si="8"/>
        <v>-6558.8662185426074</v>
      </c>
      <c r="AL58" s="27">
        <f t="shared" si="8"/>
        <v>-6956.5606074859652</v>
      </c>
      <c r="AO58" s="8">
        <f>ROW()</f>
        <v>58</v>
      </c>
    </row>
    <row r="59" spans="1:41" s="9" customFormat="1" ht="13.9" customHeight="1" x14ac:dyDescent="0.2">
      <c r="B59" s="9" t="s">
        <v>13</v>
      </c>
      <c r="M59" s="137"/>
      <c r="N59" s="478"/>
      <c r="O59" s="479"/>
      <c r="P59" s="27">
        <f>1000*P42+P58</f>
        <v>25296.163643153755</v>
      </c>
      <c r="Q59" s="27">
        <f t="shared" ref="Q59:AL59" si="9">1000*Q42+Q58</f>
        <v>25372.230374275478</v>
      </c>
      <c r="R59" s="27">
        <f t="shared" si="9"/>
        <v>25432.325639329178</v>
      </c>
      <c r="S59" s="27">
        <f t="shared" si="9"/>
        <v>25474.970540937851</v>
      </c>
      <c r="T59" s="27">
        <f t="shared" si="9"/>
        <v>25498.619847800877</v>
      </c>
      <c r="U59" s="27">
        <f t="shared" si="9"/>
        <v>25501.669927871069</v>
      </c>
      <c r="V59" s="27">
        <f t="shared" si="9"/>
        <v>25482.469192632729</v>
      </c>
      <c r="W59" s="27">
        <f t="shared" si="9"/>
        <v>25439.331310427995</v>
      </c>
      <c r="X59" s="27">
        <f t="shared" si="9"/>
        <v>25370.551411565604</v>
      </c>
      <c r="Y59" s="27">
        <f t="shared" si="9"/>
        <v>25274.425453682015</v>
      </c>
      <c r="Z59" s="27">
        <f t="shared" si="9"/>
        <v>25308.746285142603</v>
      </c>
      <c r="AA59" s="27">
        <f t="shared" si="9"/>
        <v>25326.292938017956</v>
      </c>
      <c r="AB59" s="27">
        <f t="shared" si="9"/>
        <v>25326.122973186153</v>
      </c>
      <c r="AC59" s="27">
        <f t="shared" si="9"/>
        <v>25309.592282795093</v>
      </c>
      <c r="AD59" s="27">
        <f t="shared" si="9"/>
        <v>25278.177279116197</v>
      </c>
      <c r="AE59" s="27">
        <f t="shared" si="9"/>
        <v>25233.467652528238</v>
      </c>
      <c r="AF59" s="27">
        <f t="shared" si="9"/>
        <v>25177.158491807946</v>
      </c>
      <c r="AG59" s="27">
        <f t="shared" si="9"/>
        <v>25111.041885725503</v>
      </c>
      <c r="AH59" s="27">
        <f t="shared" si="9"/>
        <v>25036.998140738342</v>
      </c>
      <c r="AI59" s="27">
        <f t="shared" si="9"/>
        <v>24956.986764629266</v>
      </c>
      <c r="AJ59" s="27">
        <f t="shared" si="9"/>
        <v>24873.037379775735</v>
      </c>
      <c r="AK59" s="27">
        <f t="shared" si="9"/>
        <v>24787.240741832797</v>
      </c>
      <c r="AL59" s="27">
        <f t="shared" si="9"/>
        <v>24701.740049373722</v>
      </c>
      <c r="AO59" s="8">
        <f>ROW()</f>
        <v>59</v>
      </c>
    </row>
    <row r="60" spans="1:41" s="105" customFormat="1" ht="13.9" customHeight="1" x14ac:dyDescent="0.2">
      <c r="A60" s="9"/>
      <c r="B60" s="9" t="s">
        <v>194</v>
      </c>
      <c r="M60" s="214"/>
      <c r="N60" s="478"/>
      <c r="O60" s="479"/>
      <c r="P60" s="105">
        <f>P59*P55/Parameters!$J$15</f>
        <v>1352.1517296839934</v>
      </c>
      <c r="Q60" s="105">
        <f>Q59*Q55/Parameters!$J$15</f>
        <v>1354.8553526904545</v>
      </c>
      <c r="R60" s="105">
        <f>R59*R55/Parameters!$J$15</f>
        <v>1356.563827592166</v>
      </c>
      <c r="S60" s="105">
        <f>S59*S55/Parameters!$J$15</f>
        <v>1357.1870462193472</v>
      </c>
      <c r="T60" s="105">
        <f>T59*T55/Parameters!$J$15</f>
        <v>1356.6309912410004</v>
      </c>
      <c r="U60" s="105">
        <f>U59*U55/Parameters!$J$15</f>
        <v>1354.7982560049745</v>
      </c>
      <c r="V60" s="105">
        <f>V59*V55/Parameters!$J$15</f>
        <v>1351.5887248676554</v>
      </c>
      <c r="W60" s="105">
        <f>W59*W55/Parameters!$J$15</f>
        <v>1346.9004308668066</v>
      </c>
      <c r="X60" s="105">
        <f>X59*X55/Parameters!$J$15</f>
        <v>1340.6306055045688</v>
      </c>
      <c r="Y60" s="105">
        <f>Y59*Y55/Parameters!$J$15</f>
        <v>1332.6769321213826</v>
      </c>
      <c r="Z60" s="105">
        <f>Z59*Z55/Parameters!$J$15</f>
        <v>1331.3278662138807</v>
      </c>
      <c r="AA60" s="105">
        <f>AA59*AA55/Parameters!$J$15</f>
        <v>1328.7824943808005</v>
      </c>
      <c r="AB60" s="105">
        <f>AB59*AB55/Parameters!$J$15</f>
        <v>1324.9688054254518</v>
      </c>
      <c r="AC60" s="105">
        <f>AC59*AC55/Parameters!$J$15</f>
        <v>1319.934037851546</v>
      </c>
      <c r="AD60" s="105">
        <f>AD59*AD55/Parameters!$J$15</f>
        <v>1313.7296004958889</v>
      </c>
      <c r="AE60" s="105">
        <f>AE59*AE55/Parameters!$J$15</f>
        <v>1311.406001004234</v>
      </c>
      <c r="AF60" s="105">
        <f>AF59*AF55/Parameters!$J$15</f>
        <v>1308.4795632947221</v>
      </c>
      <c r="AG60" s="105">
        <f>AG59*AG55/Parameters!$J$15</f>
        <v>1305.0434238319854</v>
      </c>
      <c r="AH60" s="105">
        <f>AH59*AH55/Parameters!$J$15</f>
        <v>1301.1953038331765</v>
      </c>
      <c r="AI60" s="105">
        <f>AI59*AI55/Parameters!$J$15</f>
        <v>1297.0370406795375</v>
      </c>
      <c r="AJ60" s="105">
        <f>AJ59*AJ55/Parameters!$J$15</f>
        <v>1292.6741156708335</v>
      </c>
      <c r="AK60" s="105">
        <f>AK59*AK55/Parameters!$J$15</f>
        <v>1288.2151872582308</v>
      </c>
      <c r="AL60" s="105">
        <f>AL59*AL55/Parameters!$J$15</f>
        <v>1283.7716393985052</v>
      </c>
      <c r="AO60" s="8">
        <f>ROW()</f>
        <v>60</v>
      </c>
    </row>
    <row r="61" spans="1:41" s="9" customFormat="1" ht="13.9" customHeight="1" x14ac:dyDescent="0.2">
      <c r="B61" s="9" t="s">
        <v>587</v>
      </c>
      <c r="H61" s="26"/>
      <c r="I61" s="26"/>
      <c r="J61" s="26"/>
      <c r="M61" s="179"/>
      <c r="N61" s="478"/>
      <c r="O61" s="479"/>
      <c r="P61" s="28">
        <f t="shared" ref="P61:AL61" si="10">P60-P46</f>
        <v>-22.554078059919902</v>
      </c>
      <c r="Q61" s="28">
        <f t="shared" si="10"/>
        <v>-33.541931581644576</v>
      </c>
      <c r="R61" s="28">
        <f t="shared" si="10"/>
        <v>-45.661294405159197</v>
      </c>
      <c r="S61" s="28">
        <f t="shared" si="10"/>
        <v>-59.003632798913713</v>
      </c>
      <c r="T61" s="28">
        <f t="shared" si="10"/>
        <v>-73.664335718651955</v>
      </c>
      <c r="U61" s="28">
        <f t="shared" si="10"/>
        <v>-89.742195102061942</v>
      </c>
      <c r="V61" s="28">
        <f t="shared" si="10"/>
        <v>-107.33872567514072</v>
      </c>
      <c r="W61" s="28">
        <f t="shared" si="10"/>
        <v>-126.55730741676393</v>
      </c>
      <c r="X61" s="28">
        <f t="shared" si="10"/>
        <v>-147.50213591446641</v>
      </c>
      <c r="Y61" s="28">
        <f t="shared" si="10"/>
        <v>-170.27696913068007</v>
      </c>
      <c r="Z61" s="28">
        <f t="shared" si="10"/>
        <v>-186.59480722639933</v>
      </c>
      <c r="AA61" s="28">
        <f t="shared" si="10"/>
        <v>-204.2580337582358</v>
      </c>
      <c r="AB61" s="28">
        <f t="shared" si="10"/>
        <v>-223.34014472034119</v>
      </c>
      <c r="AC61" s="28">
        <f t="shared" si="10"/>
        <v>-243.79540119440753</v>
      </c>
      <c r="AD61" s="28">
        <f t="shared" si="10"/>
        <v>-265.57390886425583</v>
      </c>
      <c r="AE61" s="28">
        <f t="shared" si="10"/>
        <v>-283.62668968873163</v>
      </c>
      <c r="AF61" s="28">
        <f t="shared" si="10"/>
        <v>-302.4389645884944</v>
      </c>
      <c r="AG61" s="28">
        <f t="shared" si="10"/>
        <v>-321.91915732363964</v>
      </c>
      <c r="AH61" s="28">
        <f t="shared" si="10"/>
        <v>-341.97112244090795</v>
      </c>
      <c r="AI61" s="28">
        <f t="shared" si="10"/>
        <v>-362.49461401687813</v>
      </c>
      <c r="AJ61" s="28">
        <f t="shared" si="10"/>
        <v>-383.38575805983965</v>
      </c>
      <c r="AK61" s="28">
        <f t="shared" si="10"/>
        <v>-404.53751943477505</v>
      </c>
      <c r="AL61" s="28">
        <f t="shared" si="10"/>
        <v>-425.84015366858534</v>
      </c>
      <c r="AO61" s="8">
        <f>ROW()</f>
        <v>61</v>
      </c>
    </row>
    <row r="62" spans="1:41" s="9" customFormat="1" ht="13.9" customHeight="1" x14ac:dyDescent="0.2">
      <c r="B62" s="9" t="s">
        <v>588</v>
      </c>
      <c r="H62" s="26"/>
      <c r="I62" s="26"/>
      <c r="J62" s="26"/>
      <c r="M62" s="179"/>
      <c r="N62" s="478"/>
      <c r="O62" s="479"/>
      <c r="P62" s="28">
        <f t="shared" ref="P62:AL62" si="11">P60-$M$46</f>
        <v>60.180769683993049</v>
      </c>
      <c r="Q62" s="28">
        <f t="shared" si="11"/>
        <v>62.884392690454206</v>
      </c>
      <c r="R62" s="28">
        <f t="shared" si="11"/>
        <v>64.592867592165703</v>
      </c>
      <c r="S62" s="28">
        <f t="shared" si="11"/>
        <v>65.216086219346835</v>
      </c>
      <c r="T62" s="28">
        <f t="shared" si="11"/>
        <v>64.66003124100007</v>
      </c>
      <c r="U62" s="28">
        <f t="shared" si="11"/>
        <v>62.827296004974187</v>
      </c>
      <c r="V62" s="28">
        <f t="shared" si="11"/>
        <v>59.617764867655069</v>
      </c>
      <c r="W62" s="28">
        <f t="shared" si="11"/>
        <v>54.929470866806241</v>
      </c>
      <c r="X62" s="28">
        <f t="shared" si="11"/>
        <v>48.659645504568516</v>
      </c>
      <c r="Y62" s="28">
        <f t="shared" si="11"/>
        <v>40.705972121382274</v>
      </c>
      <c r="Z62" s="28">
        <f t="shared" si="11"/>
        <v>39.356906213880393</v>
      </c>
      <c r="AA62" s="28">
        <f t="shared" si="11"/>
        <v>36.81153438080014</v>
      </c>
      <c r="AB62" s="28">
        <f t="shared" si="11"/>
        <v>32.997845425451487</v>
      </c>
      <c r="AC62" s="28">
        <f t="shared" si="11"/>
        <v>27.963077851545677</v>
      </c>
      <c r="AD62" s="28">
        <f t="shared" si="11"/>
        <v>21.758640495888585</v>
      </c>
      <c r="AE62" s="28">
        <f t="shared" si="11"/>
        <v>19.435041004233653</v>
      </c>
      <c r="AF62" s="28">
        <f t="shared" si="11"/>
        <v>16.508603294721752</v>
      </c>
      <c r="AG62" s="28">
        <f t="shared" si="11"/>
        <v>13.072463831985033</v>
      </c>
      <c r="AH62" s="28">
        <f t="shared" si="11"/>
        <v>9.2243438331761354</v>
      </c>
      <c r="AI62" s="28">
        <f t="shared" si="11"/>
        <v>5.0660806795372082</v>
      </c>
      <c r="AJ62" s="28">
        <f t="shared" si="11"/>
        <v>0.70315567083321184</v>
      </c>
      <c r="AK62" s="28">
        <f t="shared" si="11"/>
        <v>-3.7557727417695332</v>
      </c>
      <c r="AL62" s="28">
        <f t="shared" si="11"/>
        <v>-8.1993206014951738</v>
      </c>
      <c r="AO62" s="8">
        <f>ROW()</f>
        <v>62</v>
      </c>
    </row>
    <row r="63" spans="1:41" s="9" customFormat="1" ht="13.9" customHeight="1" x14ac:dyDescent="0.2">
      <c r="B63" s="9" t="s">
        <v>659</v>
      </c>
      <c r="H63" s="26"/>
      <c r="I63" s="26"/>
      <c r="J63" s="26"/>
      <c r="M63" s="179"/>
      <c r="N63" s="478"/>
      <c r="O63" s="479"/>
      <c r="P63" s="378">
        <f>ROUND(P60*P18,-2)/1000</f>
        <v>13.5</v>
      </c>
      <c r="Q63" s="378">
        <f t="shared" ref="Q63:AL63" si="12">ROUND(Q60*Q18,-2)/1000</f>
        <v>14.9</v>
      </c>
      <c r="R63" s="378">
        <f t="shared" si="12"/>
        <v>16.399999999999999</v>
      </c>
      <c r="S63" s="378">
        <f t="shared" si="12"/>
        <v>18.100000000000001</v>
      </c>
      <c r="T63" s="378">
        <f t="shared" si="12"/>
        <v>19.899999999999999</v>
      </c>
      <c r="U63" s="378">
        <f t="shared" si="12"/>
        <v>21.8</v>
      </c>
      <c r="V63" s="378">
        <f t="shared" si="12"/>
        <v>23.9</v>
      </c>
      <c r="W63" s="378">
        <f t="shared" si="12"/>
        <v>26.2</v>
      </c>
      <c r="X63" s="378">
        <f t="shared" si="12"/>
        <v>28.7</v>
      </c>
      <c r="Y63" s="378">
        <f t="shared" si="12"/>
        <v>31.4</v>
      </c>
      <c r="Z63" s="378">
        <f t="shared" si="12"/>
        <v>34.5</v>
      </c>
      <c r="AA63" s="378">
        <f t="shared" si="12"/>
        <v>37.9</v>
      </c>
      <c r="AB63" s="378">
        <f t="shared" si="12"/>
        <v>41.6</v>
      </c>
      <c r="AC63" s="378">
        <f t="shared" si="12"/>
        <v>45.6</v>
      </c>
      <c r="AD63" s="378">
        <f t="shared" si="12"/>
        <v>49.9</v>
      </c>
      <c r="AE63" s="378">
        <f t="shared" si="12"/>
        <v>49.8</v>
      </c>
      <c r="AF63" s="378">
        <f t="shared" si="12"/>
        <v>49.7</v>
      </c>
      <c r="AG63" s="378">
        <f t="shared" si="12"/>
        <v>49.6</v>
      </c>
      <c r="AH63" s="378">
        <f t="shared" si="12"/>
        <v>49.4</v>
      </c>
      <c r="AI63" s="378">
        <f t="shared" si="12"/>
        <v>49.3</v>
      </c>
      <c r="AJ63" s="378">
        <f t="shared" si="12"/>
        <v>49.1</v>
      </c>
      <c r="AK63" s="378">
        <f t="shared" si="12"/>
        <v>48.9</v>
      </c>
      <c r="AL63" s="378">
        <f t="shared" si="12"/>
        <v>48.8</v>
      </c>
      <c r="AO63" s="8">
        <f>ROW()</f>
        <v>63</v>
      </c>
    </row>
    <row r="64" spans="1:41" s="9" customFormat="1" ht="13.9" customHeight="1" x14ac:dyDescent="0.2">
      <c r="B64" s="9" t="s">
        <v>669</v>
      </c>
      <c r="H64" s="26"/>
      <c r="I64" s="26"/>
      <c r="J64" s="26"/>
      <c r="M64" s="179"/>
      <c r="N64" s="478"/>
      <c r="O64" s="479"/>
      <c r="P64" s="378">
        <f>ROUND(P59*$J$28*P17/100,-2)/1000</f>
        <v>12.1</v>
      </c>
      <c r="Q64" s="378">
        <f t="shared" ref="Q64:AL64" si="13">ROUND(Q59*$J$28*Q17/100,-2)/1000</f>
        <v>24.3</v>
      </c>
      <c r="R64" s="378">
        <f t="shared" si="13"/>
        <v>36.6</v>
      </c>
      <c r="S64" s="378">
        <f t="shared" si="13"/>
        <v>48.9</v>
      </c>
      <c r="T64" s="378">
        <f t="shared" si="13"/>
        <v>61.2</v>
      </c>
      <c r="U64" s="378">
        <f t="shared" si="13"/>
        <v>73.400000000000006</v>
      </c>
      <c r="V64" s="378">
        <f t="shared" si="13"/>
        <v>85.6</v>
      </c>
      <c r="W64" s="378">
        <f t="shared" si="13"/>
        <v>97.6</v>
      </c>
      <c r="X64" s="378">
        <f t="shared" si="13"/>
        <v>109.5</v>
      </c>
      <c r="Y64" s="378">
        <f t="shared" si="13"/>
        <v>121.2</v>
      </c>
      <c r="Z64" s="378">
        <f t="shared" si="13"/>
        <v>133.6</v>
      </c>
      <c r="AA64" s="378">
        <f t="shared" si="13"/>
        <v>145.80000000000001</v>
      </c>
      <c r="AB64" s="378">
        <f t="shared" si="13"/>
        <v>157.9</v>
      </c>
      <c r="AC64" s="378">
        <f t="shared" si="13"/>
        <v>170</v>
      </c>
      <c r="AD64" s="378">
        <f t="shared" si="13"/>
        <v>181.9</v>
      </c>
      <c r="AE64" s="378">
        <f t="shared" si="13"/>
        <v>181.6</v>
      </c>
      <c r="AF64" s="378">
        <f t="shared" si="13"/>
        <v>181.2</v>
      </c>
      <c r="AG64" s="378">
        <f t="shared" si="13"/>
        <v>180.7</v>
      </c>
      <c r="AH64" s="378">
        <f t="shared" si="13"/>
        <v>180.2</v>
      </c>
      <c r="AI64" s="378">
        <f t="shared" si="13"/>
        <v>179.6</v>
      </c>
      <c r="AJ64" s="378">
        <f t="shared" si="13"/>
        <v>179</v>
      </c>
      <c r="AK64" s="378">
        <f t="shared" si="13"/>
        <v>178.4</v>
      </c>
      <c r="AL64" s="378">
        <f t="shared" si="13"/>
        <v>177.8</v>
      </c>
      <c r="AO64" s="8">
        <f>ROW()</f>
        <v>64</v>
      </c>
    </row>
    <row r="65" spans="1:41" s="9" customFormat="1" ht="13.9" customHeight="1" x14ac:dyDescent="0.2">
      <c r="B65" s="9" t="s">
        <v>670</v>
      </c>
      <c r="H65" s="26"/>
      <c r="I65" s="26"/>
      <c r="J65" s="26"/>
      <c r="M65" s="179"/>
      <c r="N65" s="461"/>
      <c r="O65" s="462"/>
      <c r="P65" s="378">
        <f>P63+P64</f>
        <v>25.6</v>
      </c>
      <c r="Q65" s="378">
        <f t="shared" ref="Q65:AL65" si="14">Q63+Q64</f>
        <v>39.200000000000003</v>
      </c>
      <c r="R65" s="378">
        <f t="shared" si="14"/>
        <v>53</v>
      </c>
      <c r="S65" s="378">
        <f t="shared" si="14"/>
        <v>67</v>
      </c>
      <c r="T65" s="378">
        <f t="shared" si="14"/>
        <v>81.099999999999994</v>
      </c>
      <c r="U65" s="378">
        <f t="shared" si="14"/>
        <v>95.2</v>
      </c>
      <c r="V65" s="378">
        <f t="shared" si="14"/>
        <v>109.5</v>
      </c>
      <c r="W65" s="378">
        <f t="shared" si="14"/>
        <v>123.8</v>
      </c>
      <c r="X65" s="378">
        <f t="shared" si="14"/>
        <v>138.19999999999999</v>
      </c>
      <c r="Y65" s="378">
        <f t="shared" si="14"/>
        <v>152.6</v>
      </c>
      <c r="Z65" s="378">
        <f t="shared" si="14"/>
        <v>168.1</v>
      </c>
      <c r="AA65" s="378">
        <f t="shared" si="14"/>
        <v>183.70000000000002</v>
      </c>
      <c r="AB65" s="378">
        <f t="shared" si="14"/>
        <v>199.5</v>
      </c>
      <c r="AC65" s="378">
        <f t="shared" si="14"/>
        <v>215.6</v>
      </c>
      <c r="AD65" s="378">
        <f t="shared" si="14"/>
        <v>231.8</v>
      </c>
      <c r="AE65" s="378">
        <f t="shared" si="14"/>
        <v>231.39999999999998</v>
      </c>
      <c r="AF65" s="378">
        <f t="shared" si="14"/>
        <v>230.89999999999998</v>
      </c>
      <c r="AG65" s="378">
        <f t="shared" si="14"/>
        <v>230.29999999999998</v>
      </c>
      <c r="AH65" s="378">
        <f t="shared" si="14"/>
        <v>229.6</v>
      </c>
      <c r="AI65" s="378">
        <f t="shared" si="14"/>
        <v>228.89999999999998</v>
      </c>
      <c r="AJ65" s="378">
        <f t="shared" si="14"/>
        <v>228.1</v>
      </c>
      <c r="AK65" s="378">
        <f t="shared" si="14"/>
        <v>227.3</v>
      </c>
      <c r="AL65" s="378">
        <f t="shared" si="14"/>
        <v>226.60000000000002</v>
      </c>
      <c r="AO65" s="8">
        <f>ROW()</f>
        <v>65</v>
      </c>
    </row>
    <row r="66" spans="1:41" s="9" customFormat="1" ht="13.9" customHeight="1" x14ac:dyDescent="0.2">
      <c r="H66" s="26"/>
      <c r="I66" s="26"/>
      <c r="J66" s="26"/>
      <c r="M66" s="179"/>
      <c r="N66" s="277"/>
      <c r="O66" s="277"/>
      <c r="P66" s="27"/>
      <c r="Q66" s="27"/>
      <c r="R66" s="27"/>
      <c r="S66" s="27"/>
      <c r="T66" s="27"/>
      <c r="U66" s="27"/>
      <c r="V66" s="27"/>
      <c r="W66" s="27"/>
      <c r="X66" s="27"/>
      <c r="Y66" s="27"/>
      <c r="Z66" s="27"/>
      <c r="AA66" s="27"/>
      <c r="AB66" s="27"/>
      <c r="AC66" s="27"/>
      <c r="AD66" s="27"/>
      <c r="AE66" s="27"/>
      <c r="AF66" s="27"/>
      <c r="AG66" s="27"/>
      <c r="AH66" s="27"/>
      <c r="AI66" s="27"/>
      <c r="AJ66" s="27"/>
      <c r="AK66" s="27"/>
      <c r="AL66" s="27"/>
      <c r="AO66" s="8"/>
    </row>
    <row r="67" spans="1:41" ht="13.9" customHeight="1" x14ac:dyDescent="0.2">
      <c r="B67" t="s">
        <v>212</v>
      </c>
      <c r="K67" s="39"/>
      <c r="L67" s="39"/>
      <c r="M67" s="84"/>
      <c r="P67" s="39">
        <f>P51/K51-1</f>
        <v>0.13475993201083636</v>
      </c>
      <c r="Q67" s="39">
        <f t="shared" ref="Q67:AL67" si="15">Q51/P51-1</f>
        <v>1.1803295728878949E-2</v>
      </c>
      <c r="R67" s="39">
        <f t="shared" si="15"/>
        <v>1.2817240977019084E-2</v>
      </c>
      <c r="S67" s="39">
        <f t="shared" si="15"/>
        <v>1.3902744089571595E-2</v>
      </c>
      <c r="T67" s="39">
        <f t="shared" si="15"/>
        <v>1.50621175522061E-2</v>
      </c>
      <c r="U67" s="39">
        <f t="shared" si="15"/>
        <v>1.6297256098853685E-2</v>
      </c>
      <c r="V67" s="39">
        <f t="shared" si="15"/>
        <v>1.7609543365989078E-2</v>
      </c>
      <c r="W67" s="39">
        <f t="shared" si="15"/>
        <v>1.8999754160760718E-2</v>
      </c>
      <c r="X67" s="39">
        <f t="shared" si="15"/>
        <v>2.0467954637801045E-2</v>
      </c>
      <c r="Y67" s="39">
        <f t="shared" si="15"/>
        <v>2.201340325310297E-2</v>
      </c>
      <c r="Z67" s="39">
        <f t="shared" si="15"/>
        <v>2.3634455903818186E-2</v>
      </c>
      <c r="AA67" s="39">
        <f t="shared" si="15"/>
        <v>2.5328479121498049E-2</v>
      </c>
      <c r="AB67" s="39">
        <f t="shared" si="15"/>
        <v>2.709177550853914E-2</v>
      </c>
      <c r="AC67" s="39">
        <f t="shared" si="15"/>
        <v>2.8919525737453489E-2</v>
      </c>
      <c r="AD67" s="39">
        <f t="shared" si="15"/>
        <v>3.0805751318806252E-2</v>
      </c>
      <c r="AE67" s="39">
        <f t="shared" si="15"/>
        <v>0</v>
      </c>
      <c r="AF67" s="39">
        <f t="shared" si="15"/>
        <v>0</v>
      </c>
      <c r="AG67" s="39">
        <f t="shared" si="15"/>
        <v>0</v>
      </c>
      <c r="AH67" s="39">
        <f t="shared" si="15"/>
        <v>0</v>
      </c>
      <c r="AI67" s="39">
        <f t="shared" si="15"/>
        <v>0</v>
      </c>
      <c r="AJ67" s="39">
        <f t="shared" si="15"/>
        <v>0</v>
      </c>
      <c r="AK67" s="39">
        <f t="shared" si="15"/>
        <v>0</v>
      </c>
      <c r="AL67" s="39">
        <f t="shared" si="15"/>
        <v>0</v>
      </c>
      <c r="AO67" s="8">
        <f>ROW()</f>
        <v>67</v>
      </c>
    </row>
    <row r="68" spans="1:41" ht="13.9" customHeight="1" x14ac:dyDescent="0.2">
      <c r="K68" s="39"/>
      <c r="L68" s="39"/>
      <c r="M68" s="84"/>
      <c r="P68" s="39"/>
      <c r="Q68" s="39"/>
      <c r="R68" s="39"/>
      <c r="S68" s="39"/>
      <c r="T68" s="39"/>
      <c r="U68" s="39"/>
      <c r="V68" s="39"/>
      <c r="W68" s="39"/>
      <c r="X68" s="39"/>
      <c r="Y68" s="39"/>
      <c r="Z68" s="39"/>
      <c r="AA68" s="39"/>
      <c r="AB68" s="39"/>
      <c r="AC68" s="39"/>
      <c r="AD68" s="39"/>
      <c r="AE68" s="39"/>
      <c r="AF68" s="39"/>
      <c r="AG68" s="39"/>
      <c r="AH68" s="39"/>
      <c r="AI68" s="39"/>
      <c r="AJ68" s="39"/>
      <c r="AK68" s="39"/>
      <c r="AL68" s="39"/>
      <c r="AO68" s="8">
        <f>ROW()</f>
        <v>68</v>
      </c>
    </row>
    <row r="69" spans="1:41" ht="13.9" customHeight="1" x14ac:dyDescent="0.2">
      <c r="B69" s="65" t="s">
        <v>203</v>
      </c>
      <c r="H69" s="66">
        <f>-Parameters!F48</f>
        <v>0.5</v>
      </c>
      <c r="I69" s="66"/>
      <c r="J69" s="66"/>
      <c r="M69" s="84"/>
      <c r="AO69" s="8">
        <f>ROW()</f>
        <v>69</v>
      </c>
    </row>
    <row r="70" spans="1:41" ht="13.9" customHeight="1" x14ac:dyDescent="0.2">
      <c r="B70" s="492" t="s">
        <v>145</v>
      </c>
      <c r="C70" s="482"/>
      <c r="D70" s="482"/>
      <c r="E70" s="482"/>
      <c r="F70" s="482"/>
      <c r="G70" s="482"/>
      <c r="H70" s="482"/>
      <c r="I70" s="482"/>
      <c r="J70" s="482"/>
      <c r="K70" s="482"/>
      <c r="L70" s="482"/>
      <c r="M70" s="482"/>
      <c r="N70" s="173"/>
      <c r="O70" s="173"/>
      <c r="AO70" s="8">
        <f>ROW()</f>
        <v>70</v>
      </c>
    </row>
    <row r="71" spans="1:41" ht="13.9" customHeight="1" x14ac:dyDescent="0.2">
      <c r="B71" s="482"/>
      <c r="C71" s="482"/>
      <c r="D71" s="482"/>
      <c r="E71" s="482"/>
      <c r="F71" s="482"/>
      <c r="G71" s="482"/>
      <c r="H71" s="482"/>
      <c r="I71" s="482"/>
      <c r="J71" s="482"/>
      <c r="K71" s="482"/>
      <c r="L71" s="482"/>
      <c r="M71" s="482"/>
      <c r="N71" s="173"/>
      <c r="O71" s="173"/>
      <c r="AO71" s="8">
        <f>ROW()</f>
        <v>71</v>
      </c>
    </row>
    <row r="72" spans="1:41" ht="13.9" customHeight="1" x14ac:dyDescent="0.2">
      <c r="B72" s="129"/>
      <c r="C72" s="84"/>
      <c r="D72" s="84"/>
      <c r="E72" s="84"/>
      <c r="F72" s="84"/>
      <c r="G72" s="84"/>
      <c r="H72" s="169"/>
      <c r="I72" s="169"/>
      <c r="J72" s="169"/>
      <c r="K72" s="84"/>
      <c r="L72" s="84"/>
      <c r="M72" s="84"/>
      <c r="AO72" s="8">
        <f>ROW()</f>
        <v>72</v>
      </c>
    </row>
    <row r="73" spans="1:41" ht="13.9" customHeight="1" x14ac:dyDescent="0.2">
      <c r="B73" s="248" t="s">
        <v>197</v>
      </c>
      <c r="C73" s="84"/>
      <c r="D73" s="84"/>
      <c r="E73" s="84"/>
      <c r="F73" s="84"/>
      <c r="G73" s="84"/>
      <c r="H73" s="248">
        <v>10</v>
      </c>
      <c r="I73" s="248"/>
      <c r="J73" s="248"/>
      <c r="K73" s="84"/>
      <c r="L73" s="84"/>
      <c r="M73" s="84"/>
      <c r="R73" s="448" t="s">
        <v>299</v>
      </c>
      <c r="S73" s="449"/>
      <c r="T73" s="449"/>
      <c r="U73" s="449"/>
      <c r="V73" s="449"/>
      <c r="W73" s="449"/>
      <c r="X73" s="449"/>
      <c r="Y73" s="449"/>
      <c r="Z73" s="449"/>
      <c r="AA73" s="449"/>
      <c r="AB73" s="449"/>
      <c r="AO73" s="8">
        <f>ROW()</f>
        <v>73</v>
      </c>
    </row>
    <row r="74" spans="1:41" ht="13.9" customHeight="1" x14ac:dyDescent="0.2">
      <c r="A74" s="74"/>
      <c r="B74" s="129"/>
      <c r="C74" s="84"/>
      <c r="D74" s="84"/>
      <c r="E74" s="84"/>
      <c r="F74" s="84"/>
      <c r="G74" s="84"/>
      <c r="H74" s="84"/>
      <c r="I74" s="84"/>
      <c r="J74" s="84"/>
      <c r="K74" s="84"/>
      <c r="L74" s="84"/>
      <c r="M74" s="84"/>
      <c r="R74" s="449"/>
      <c r="S74" s="449"/>
      <c r="T74" s="449"/>
      <c r="U74" s="449"/>
      <c r="V74" s="449"/>
      <c r="W74" s="449"/>
      <c r="X74" s="449"/>
      <c r="Y74" s="449"/>
      <c r="Z74" s="449"/>
      <c r="AA74" s="449"/>
      <c r="AB74" s="449"/>
      <c r="AO74" s="8">
        <f>ROW()</f>
        <v>74</v>
      </c>
    </row>
    <row r="75" spans="1:41" ht="13.9" customHeight="1" x14ac:dyDescent="0.2">
      <c r="B75" s="84"/>
      <c r="C75" s="84"/>
      <c r="D75" s="84"/>
      <c r="E75" s="84"/>
      <c r="F75" s="84"/>
      <c r="G75" s="84"/>
      <c r="H75" s="84"/>
      <c r="I75" s="84"/>
      <c r="J75" s="84"/>
      <c r="K75" s="84"/>
      <c r="L75" s="84"/>
      <c r="M75" s="84"/>
      <c r="R75" s="449"/>
      <c r="S75" s="449"/>
      <c r="T75" s="449"/>
      <c r="U75" s="449"/>
      <c r="V75" s="449"/>
      <c r="W75" s="449"/>
      <c r="X75" s="449"/>
      <c r="Y75" s="449"/>
      <c r="Z75" s="449"/>
      <c r="AA75" s="449"/>
      <c r="AB75" s="449"/>
      <c r="AO75" s="8">
        <f>ROW()</f>
        <v>75</v>
      </c>
    </row>
    <row r="76" spans="1:41" s="74" customFormat="1" ht="13.9" customHeight="1" x14ac:dyDescent="0.2">
      <c r="A76" s="6"/>
      <c r="B76" s="207" t="s">
        <v>190</v>
      </c>
      <c r="C76" s="207"/>
      <c r="D76" s="207"/>
      <c r="E76" s="207"/>
      <c r="F76" s="207"/>
      <c r="G76" s="207"/>
      <c r="H76" s="207">
        <f>P7</f>
        <v>2012</v>
      </c>
      <c r="I76" s="207"/>
      <c r="J76" s="207"/>
      <c r="K76" s="207"/>
      <c r="L76" s="207"/>
      <c r="M76" s="207"/>
      <c r="N76" s="207"/>
      <c r="O76" s="207"/>
      <c r="R76" s="449"/>
      <c r="S76" s="449"/>
      <c r="T76" s="449"/>
      <c r="U76" s="449"/>
      <c r="V76" s="449"/>
      <c r="W76" s="449"/>
      <c r="X76" s="449"/>
      <c r="Y76" s="449"/>
      <c r="Z76" s="449"/>
      <c r="AA76" s="449"/>
      <c r="AB76" s="449"/>
      <c r="AO76" s="8">
        <f>ROW()</f>
        <v>76</v>
      </c>
    </row>
    <row r="77" spans="1:41" ht="13.9" customHeight="1" x14ac:dyDescent="0.2">
      <c r="A77" s="6"/>
      <c r="B77" s="84"/>
      <c r="C77" s="84"/>
      <c r="D77" s="84"/>
      <c r="E77" s="84"/>
      <c r="F77" s="84"/>
      <c r="G77" s="84"/>
      <c r="H77" s="84"/>
      <c r="I77" s="84"/>
      <c r="J77" s="84"/>
      <c r="K77" s="84"/>
      <c r="L77" s="84"/>
      <c r="M77" s="84"/>
      <c r="AO77" s="8">
        <f>ROW()</f>
        <v>77</v>
      </c>
    </row>
    <row r="78" spans="1:41" s="38" customFormat="1" ht="13.9" customHeight="1" x14ac:dyDescent="0.2">
      <c r="A78" s="6"/>
      <c r="B78" s="208" t="s">
        <v>232</v>
      </c>
      <c r="C78" s="208"/>
      <c r="D78" s="208"/>
      <c r="E78" s="208"/>
      <c r="F78" s="208"/>
      <c r="G78" s="208"/>
      <c r="H78" s="84">
        <f>H76</f>
        <v>2012</v>
      </c>
      <c r="I78" s="84"/>
      <c r="J78" s="84"/>
      <c r="K78" s="215"/>
      <c r="L78" s="215"/>
      <c r="M78" s="215"/>
      <c r="N78" s="215"/>
      <c r="O78" s="215"/>
      <c r="P78" s="6">
        <f>IF(P7&gt;=Summary!$J$98+$H$73,$H$69,((P7-$H$76+1)/$H$73)*$H$69)</f>
        <v>0.05</v>
      </c>
      <c r="Q78" s="6">
        <f>IF(Q7&gt;=Summary!$J$98+$H$73,$H$69,((Q7-$H$76+1)/$H$73)*$H$69)</f>
        <v>0.1</v>
      </c>
      <c r="R78" s="6">
        <f>IF(R7&gt;=Summary!$J$98+$H$73,$H$69,((R7-$H$76+1)/$H$73)*$H$69)</f>
        <v>0.15</v>
      </c>
      <c r="S78" s="6">
        <f>IF(S7&gt;=Summary!$J$98+$H$73,$H$69,((S7-$H$76+1)/$H$73)*$H$69)</f>
        <v>0.2</v>
      </c>
      <c r="T78" s="6">
        <f>IF(T7&gt;=Summary!$J$98+$H$73,$H$69,((T7-$H$76+1)/$H$73)*$H$69)</f>
        <v>0.25</v>
      </c>
      <c r="U78" s="6">
        <f>IF(U7&gt;=Summary!$J$98+$H$73,$H$69,((U7-$H$76+1)/$H$73)*$H$69)</f>
        <v>0.3</v>
      </c>
      <c r="V78" s="6">
        <f>IF(V7&gt;=Summary!$J$98+$H$73,$H$69,((V7-$H$76+1)/$H$73)*$H$69)</f>
        <v>0.35</v>
      </c>
      <c r="W78" s="6">
        <f>IF(W7&gt;=Summary!$J$98+$H$73,$H$69,((W7-$H$76+1)/$H$73)*$H$69)</f>
        <v>0.4</v>
      </c>
      <c r="X78" s="6">
        <f>IF(X7&gt;=Summary!$J$98+$H$73,$H$69,((X7-$H$76+1)/$H$73)*$H$69)</f>
        <v>0.45</v>
      </c>
      <c r="Y78" s="6">
        <f>IF(Y7&gt;=Summary!$J$98+$H$73,$H$69,((Y7-$H$76+1)/$H$73)*$H$69)</f>
        <v>0.5</v>
      </c>
      <c r="Z78" s="6">
        <f>IF(Z7&gt;=Summary!$J$98+$H$73,$H$69,((Z7-$H$76+1)/$H$73)*$H$69)</f>
        <v>0.5</v>
      </c>
      <c r="AA78" s="6">
        <f>IF(AA7&gt;=Summary!$J$98+$H$73,$H$69,((AA7-$H$76+1)/$H$73)*$H$69)</f>
        <v>0.5</v>
      </c>
      <c r="AB78" s="6">
        <f>IF(AB7&gt;=Summary!$J$98+$H$73,$H$69,((AB7-$H$76+1)/$H$73)*$H$69)</f>
        <v>0.5</v>
      </c>
      <c r="AC78" s="6">
        <f>IF(AC7&gt;=Summary!$J$98+$H$73,$H$69,((AC7-$H$76+1)/$H$73)*$H$69)</f>
        <v>0.5</v>
      </c>
      <c r="AD78" s="6">
        <f>IF(AD7&gt;=Summary!$J$98+$H$73,$H$69,((AD7-$H$76+1)/$H$73)*$H$69)</f>
        <v>0.5</v>
      </c>
      <c r="AE78" s="6">
        <f>IF(AE7&gt;=Summary!$J$98+$H$73,$H$69,((AE7-$H$76+1)/$H$73)*$H$69)</f>
        <v>0.5</v>
      </c>
      <c r="AF78" s="6">
        <f>IF(AF7&gt;=Summary!$J$98+$H$73,$H$69,((AF7-$H$76+1)/$H$73)*$H$69)</f>
        <v>0.5</v>
      </c>
      <c r="AG78" s="6">
        <f>IF(AG7&gt;=Summary!$J$98+$H$73,$H$69,((AG7-$H$76+1)/$H$73)*$H$69)</f>
        <v>0.5</v>
      </c>
      <c r="AH78" s="6">
        <f>IF(AH7&gt;=Summary!$J$98+$H$73,$H$69,((AH7-$H$76+1)/$H$73)*$H$69)</f>
        <v>0.5</v>
      </c>
      <c r="AI78" s="6">
        <f>IF(AI7&gt;=Summary!$J$98+$H$73,$H$69,((AI7-$H$76+1)/$H$73)*$H$69)</f>
        <v>0.5</v>
      </c>
      <c r="AJ78" s="6">
        <f>IF(AJ7&gt;=Summary!$J$98+$H$73,$H$69,((AJ7-$H$76+1)/$H$73)*$H$69)</f>
        <v>0.5</v>
      </c>
      <c r="AK78" s="6">
        <f>IF(AK7&gt;=Summary!$J$98+$H$73,$H$69,((AK7-$H$76+1)/$H$73)*$H$69)</f>
        <v>0.5</v>
      </c>
      <c r="AL78" s="6">
        <f>IF(AL7&gt;=Summary!$J$98+$H$73,$H$69,((AL7-$H$76+1)/$H$73)*$H$69)</f>
        <v>0.5</v>
      </c>
      <c r="AO78" s="8">
        <f>ROW()</f>
        <v>78</v>
      </c>
    </row>
    <row r="79" spans="1:41" s="38" customFormat="1" ht="13.9" customHeight="1" x14ac:dyDescent="0.2">
      <c r="A79" s="6"/>
      <c r="B79" s="208" t="s">
        <v>232</v>
      </c>
      <c r="C79" s="215"/>
      <c r="D79" s="215"/>
      <c r="E79" s="215"/>
      <c r="F79" s="215"/>
      <c r="G79" s="84"/>
      <c r="H79" s="84">
        <f>H78+1</f>
        <v>2013</v>
      </c>
      <c r="I79" s="84"/>
      <c r="J79" s="84"/>
      <c r="K79" s="215"/>
      <c r="L79" s="215"/>
      <c r="M79" s="215"/>
      <c r="N79" s="215"/>
      <c r="O79" s="215"/>
      <c r="P79" s="6"/>
      <c r="Q79" s="6">
        <f t="shared" ref="Q79:AF79" si="16">P78</f>
        <v>0.05</v>
      </c>
      <c r="R79" s="6">
        <f t="shared" si="16"/>
        <v>0.1</v>
      </c>
      <c r="S79" s="6">
        <f t="shared" si="16"/>
        <v>0.15</v>
      </c>
      <c r="T79" s="6">
        <f t="shared" si="16"/>
        <v>0.2</v>
      </c>
      <c r="U79" s="6">
        <f t="shared" si="16"/>
        <v>0.25</v>
      </c>
      <c r="V79" s="6">
        <f t="shared" si="16"/>
        <v>0.3</v>
      </c>
      <c r="W79" s="6">
        <f t="shared" si="16"/>
        <v>0.35</v>
      </c>
      <c r="X79" s="6">
        <f t="shared" si="16"/>
        <v>0.4</v>
      </c>
      <c r="Y79" s="6">
        <f t="shared" si="16"/>
        <v>0.45</v>
      </c>
      <c r="Z79" s="6">
        <f t="shared" si="16"/>
        <v>0.5</v>
      </c>
      <c r="AA79" s="6">
        <f t="shared" si="16"/>
        <v>0.5</v>
      </c>
      <c r="AB79" s="6">
        <f t="shared" si="16"/>
        <v>0.5</v>
      </c>
      <c r="AC79" s="6">
        <f t="shared" si="16"/>
        <v>0.5</v>
      </c>
      <c r="AD79" s="6">
        <f t="shared" si="16"/>
        <v>0.5</v>
      </c>
      <c r="AE79" s="6">
        <f t="shared" si="16"/>
        <v>0.5</v>
      </c>
      <c r="AF79" s="6">
        <f t="shared" si="16"/>
        <v>0.5</v>
      </c>
      <c r="AG79" s="6">
        <f t="shared" ref="W79:AL90" si="17">AF78</f>
        <v>0.5</v>
      </c>
      <c r="AH79" s="6">
        <f t="shared" si="17"/>
        <v>0.5</v>
      </c>
      <c r="AI79" s="6">
        <f t="shared" si="17"/>
        <v>0.5</v>
      </c>
      <c r="AJ79" s="6">
        <f t="shared" si="17"/>
        <v>0.5</v>
      </c>
      <c r="AK79" s="6">
        <f t="shared" si="17"/>
        <v>0.5</v>
      </c>
      <c r="AL79" s="6">
        <f t="shared" si="17"/>
        <v>0.5</v>
      </c>
      <c r="AO79" s="8">
        <f>ROW()</f>
        <v>79</v>
      </c>
    </row>
    <row r="80" spans="1:41" s="38" customFormat="1" ht="13.9" customHeight="1" x14ac:dyDescent="0.2">
      <c r="A80" s="6"/>
      <c r="B80" s="208" t="s">
        <v>232</v>
      </c>
      <c r="C80" s="215"/>
      <c r="D80" s="215"/>
      <c r="E80" s="215"/>
      <c r="F80" s="215"/>
      <c r="G80" s="84"/>
      <c r="H80" s="84">
        <f t="shared" ref="H80:H100" si="18">H79+1</f>
        <v>2014</v>
      </c>
      <c r="I80" s="84"/>
      <c r="J80" s="84"/>
      <c r="K80" s="215"/>
      <c r="L80" s="215"/>
      <c r="M80" s="215"/>
      <c r="N80" s="215"/>
      <c r="O80" s="215"/>
      <c r="P80" s="6"/>
      <c r="Q80" s="6"/>
      <c r="R80" s="6">
        <f t="shared" ref="R80:AF80" si="19">Q79</f>
        <v>0.05</v>
      </c>
      <c r="S80" s="6">
        <f t="shared" si="19"/>
        <v>0.1</v>
      </c>
      <c r="T80" s="6">
        <f t="shared" si="19"/>
        <v>0.15</v>
      </c>
      <c r="U80" s="6">
        <f t="shared" si="19"/>
        <v>0.2</v>
      </c>
      <c r="V80" s="6">
        <f t="shared" si="19"/>
        <v>0.25</v>
      </c>
      <c r="W80" s="6">
        <f t="shared" si="19"/>
        <v>0.3</v>
      </c>
      <c r="X80" s="6">
        <f t="shared" si="19"/>
        <v>0.35</v>
      </c>
      <c r="Y80" s="6">
        <f t="shared" si="19"/>
        <v>0.4</v>
      </c>
      <c r="Z80" s="6">
        <f t="shared" si="19"/>
        <v>0.45</v>
      </c>
      <c r="AA80" s="6">
        <f t="shared" si="19"/>
        <v>0.5</v>
      </c>
      <c r="AB80" s="6">
        <f t="shared" si="19"/>
        <v>0.5</v>
      </c>
      <c r="AC80" s="6">
        <f t="shared" si="19"/>
        <v>0.5</v>
      </c>
      <c r="AD80" s="6">
        <f t="shared" si="19"/>
        <v>0.5</v>
      </c>
      <c r="AE80" s="6">
        <f t="shared" si="19"/>
        <v>0.5</v>
      </c>
      <c r="AF80" s="6">
        <f t="shared" si="19"/>
        <v>0.5</v>
      </c>
      <c r="AG80" s="6">
        <f t="shared" si="17"/>
        <v>0.5</v>
      </c>
      <c r="AH80" s="6">
        <f t="shared" si="17"/>
        <v>0.5</v>
      </c>
      <c r="AI80" s="6">
        <f t="shared" si="17"/>
        <v>0.5</v>
      </c>
      <c r="AJ80" s="6">
        <f t="shared" si="17"/>
        <v>0.5</v>
      </c>
      <c r="AK80" s="6">
        <f t="shared" si="17"/>
        <v>0.5</v>
      </c>
      <c r="AL80" s="6">
        <f t="shared" si="17"/>
        <v>0.5</v>
      </c>
      <c r="AO80" s="8">
        <f>ROW()</f>
        <v>80</v>
      </c>
    </row>
    <row r="81" spans="1:41" s="38" customFormat="1" ht="13.9" customHeight="1" x14ac:dyDescent="0.2">
      <c r="A81" s="6"/>
      <c r="B81" s="208" t="s">
        <v>232</v>
      </c>
      <c r="C81" s="215"/>
      <c r="D81" s="215"/>
      <c r="E81" s="215"/>
      <c r="F81" s="215"/>
      <c r="G81" s="84"/>
      <c r="H81" s="84">
        <f t="shared" si="18"/>
        <v>2015</v>
      </c>
      <c r="I81" s="84"/>
      <c r="J81" s="84"/>
      <c r="K81" s="84"/>
      <c r="L81" s="84"/>
      <c r="M81" s="215"/>
      <c r="N81" s="215"/>
      <c r="O81" s="215"/>
      <c r="P81" s="6"/>
      <c r="Q81" s="6"/>
      <c r="R81" s="6"/>
      <c r="S81" s="6">
        <f t="shared" ref="S81:AF81" si="20">R80</f>
        <v>0.05</v>
      </c>
      <c r="T81" s="6">
        <f t="shared" si="20"/>
        <v>0.1</v>
      </c>
      <c r="U81" s="6">
        <f t="shared" si="20"/>
        <v>0.15</v>
      </c>
      <c r="V81" s="6">
        <f t="shared" si="20"/>
        <v>0.2</v>
      </c>
      <c r="W81" s="6">
        <f t="shared" si="20"/>
        <v>0.25</v>
      </c>
      <c r="X81" s="6">
        <f t="shared" si="20"/>
        <v>0.3</v>
      </c>
      <c r="Y81" s="6">
        <f t="shared" si="20"/>
        <v>0.35</v>
      </c>
      <c r="Z81" s="6">
        <f t="shared" si="20"/>
        <v>0.4</v>
      </c>
      <c r="AA81" s="6">
        <f t="shared" si="20"/>
        <v>0.45</v>
      </c>
      <c r="AB81" s="6">
        <f t="shared" si="20"/>
        <v>0.5</v>
      </c>
      <c r="AC81" s="6">
        <f t="shared" si="20"/>
        <v>0.5</v>
      </c>
      <c r="AD81" s="6">
        <f t="shared" si="20"/>
        <v>0.5</v>
      </c>
      <c r="AE81" s="6">
        <f t="shared" si="20"/>
        <v>0.5</v>
      </c>
      <c r="AF81" s="6">
        <f t="shared" si="20"/>
        <v>0.5</v>
      </c>
      <c r="AG81" s="6">
        <f t="shared" si="17"/>
        <v>0.5</v>
      </c>
      <c r="AH81" s="6">
        <f t="shared" si="17"/>
        <v>0.5</v>
      </c>
      <c r="AI81" s="6">
        <f t="shared" si="17"/>
        <v>0.5</v>
      </c>
      <c r="AJ81" s="6">
        <f t="shared" si="17"/>
        <v>0.5</v>
      </c>
      <c r="AK81" s="6">
        <f t="shared" si="17"/>
        <v>0.5</v>
      </c>
      <c r="AL81" s="6">
        <f t="shared" si="17"/>
        <v>0.5</v>
      </c>
      <c r="AO81" s="8">
        <f>ROW()</f>
        <v>81</v>
      </c>
    </row>
    <row r="82" spans="1:41" s="38" customFormat="1" ht="13.9" customHeight="1" x14ac:dyDescent="0.2">
      <c r="A82" s="6"/>
      <c r="B82" s="208" t="s">
        <v>232</v>
      </c>
      <c r="C82" s="215"/>
      <c r="D82" s="215"/>
      <c r="E82" s="215"/>
      <c r="F82" s="215"/>
      <c r="G82" s="84"/>
      <c r="H82" s="84">
        <f t="shared" si="18"/>
        <v>2016</v>
      </c>
      <c r="I82" s="84"/>
      <c r="J82" s="84"/>
      <c r="K82" s="84"/>
      <c r="L82" s="84"/>
      <c r="M82" s="215"/>
      <c r="N82" s="215"/>
      <c r="O82" s="215"/>
      <c r="P82" s="6"/>
      <c r="Q82" s="6"/>
      <c r="R82" s="6"/>
      <c r="S82" s="6"/>
      <c r="T82" s="6">
        <f t="shared" ref="T82:AF82" si="21">S81</f>
        <v>0.05</v>
      </c>
      <c r="U82" s="6">
        <f t="shared" si="21"/>
        <v>0.1</v>
      </c>
      <c r="V82" s="6">
        <f t="shared" si="21"/>
        <v>0.15</v>
      </c>
      <c r="W82" s="6">
        <f t="shared" si="21"/>
        <v>0.2</v>
      </c>
      <c r="X82" s="6">
        <f t="shared" si="21"/>
        <v>0.25</v>
      </c>
      <c r="Y82" s="6">
        <f t="shared" si="21"/>
        <v>0.3</v>
      </c>
      <c r="Z82" s="6">
        <f t="shared" si="21"/>
        <v>0.35</v>
      </c>
      <c r="AA82" s="6">
        <f t="shared" si="21"/>
        <v>0.4</v>
      </c>
      <c r="AB82" s="6">
        <f t="shared" si="21"/>
        <v>0.45</v>
      </c>
      <c r="AC82" s="6">
        <f t="shared" si="21"/>
        <v>0.5</v>
      </c>
      <c r="AD82" s="6">
        <f t="shared" si="21"/>
        <v>0.5</v>
      </c>
      <c r="AE82" s="6">
        <f t="shared" si="21"/>
        <v>0.5</v>
      </c>
      <c r="AF82" s="6">
        <f t="shared" si="21"/>
        <v>0.5</v>
      </c>
      <c r="AG82" s="6">
        <f t="shared" si="17"/>
        <v>0.5</v>
      </c>
      <c r="AH82" s="6">
        <f t="shared" si="17"/>
        <v>0.5</v>
      </c>
      <c r="AI82" s="6">
        <f t="shared" si="17"/>
        <v>0.5</v>
      </c>
      <c r="AJ82" s="6">
        <f t="shared" si="17"/>
        <v>0.5</v>
      </c>
      <c r="AK82" s="6">
        <f t="shared" si="17"/>
        <v>0.5</v>
      </c>
      <c r="AL82" s="6">
        <f t="shared" si="17"/>
        <v>0.5</v>
      </c>
      <c r="AO82" s="8">
        <f>ROW()</f>
        <v>82</v>
      </c>
    </row>
    <row r="83" spans="1:41" s="38" customFormat="1" ht="13.9" customHeight="1" x14ac:dyDescent="0.2">
      <c r="A83" s="6"/>
      <c r="B83" s="208" t="s">
        <v>232</v>
      </c>
      <c r="C83" s="215"/>
      <c r="D83" s="215"/>
      <c r="E83" s="215"/>
      <c r="F83" s="215"/>
      <c r="G83" s="84"/>
      <c r="H83" s="84">
        <f t="shared" si="18"/>
        <v>2017</v>
      </c>
      <c r="I83" s="84"/>
      <c r="J83" s="84"/>
      <c r="K83" s="84"/>
      <c r="L83" s="84"/>
      <c r="M83" s="215"/>
      <c r="N83" s="215"/>
      <c r="O83" s="215"/>
      <c r="P83" s="6"/>
      <c r="Q83" s="6"/>
      <c r="R83" s="6"/>
      <c r="S83" s="6"/>
      <c r="T83" s="6"/>
      <c r="U83" s="6">
        <f t="shared" ref="U83:AF83" si="22">T82</f>
        <v>0.05</v>
      </c>
      <c r="V83" s="6">
        <f t="shared" si="22"/>
        <v>0.1</v>
      </c>
      <c r="W83" s="6">
        <f t="shared" si="22"/>
        <v>0.15</v>
      </c>
      <c r="X83" s="6">
        <f t="shared" si="22"/>
        <v>0.2</v>
      </c>
      <c r="Y83" s="6">
        <f t="shared" si="22"/>
        <v>0.25</v>
      </c>
      <c r="Z83" s="6">
        <f t="shared" si="22"/>
        <v>0.3</v>
      </c>
      <c r="AA83" s="6">
        <f t="shared" si="22"/>
        <v>0.35</v>
      </c>
      <c r="AB83" s="6">
        <f t="shared" si="22"/>
        <v>0.4</v>
      </c>
      <c r="AC83" s="6">
        <f t="shared" si="22"/>
        <v>0.45</v>
      </c>
      <c r="AD83" s="6">
        <f t="shared" si="22"/>
        <v>0.5</v>
      </c>
      <c r="AE83" s="6">
        <f t="shared" si="22"/>
        <v>0.5</v>
      </c>
      <c r="AF83" s="6">
        <f t="shared" si="22"/>
        <v>0.5</v>
      </c>
      <c r="AG83" s="6">
        <f t="shared" si="17"/>
        <v>0.5</v>
      </c>
      <c r="AH83" s="6">
        <f t="shared" si="17"/>
        <v>0.5</v>
      </c>
      <c r="AI83" s="6">
        <f t="shared" si="17"/>
        <v>0.5</v>
      </c>
      <c r="AJ83" s="6">
        <f t="shared" si="17"/>
        <v>0.5</v>
      </c>
      <c r="AK83" s="6">
        <f t="shared" si="17"/>
        <v>0.5</v>
      </c>
      <c r="AL83" s="6">
        <f t="shared" si="17"/>
        <v>0.5</v>
      </c>
      <c r="AO83" s="8">
        <f>ROW()</f>
        <v>83</v>
      </c>
    </row>
    <row r="84" spans="1:41" s="38" customFormat="1" ht="13.9" customHeight="1" x14ac:dyDescent="0.2">
      <c r="A84" s="6"/>
      <c r="B84" s="208" t="s">
        <v>232</v>
      </c>
      <c r="C84" s="215"/>
      <c r="D84" s="215"/>
      <c r="E84" s="215"/>
      <c r="F84" s="215"/>
      <c r="G84" s="84"/>
      <c r="H84" s="84">
        <f t="shared" si="18"/>
        <v>2018</v>
      </c>
      <c r="I84" s="84"/>
      <c r="J84" s="84"/>
      <c r="K84" s="84"/>
      <c r="L84" s="84"/>
      <c r="M84" s="215"/>
      <c r="N84" s="215"/>
      <c r="O84" s="215"/>
      <c r="P84" s="6"/>
      <c r="Q84" s="6"/>
      <c r="R84" s="6"/>
      <c r="S84" s="6"/>
      <c r="T84" s="6"/>
      <c r="U84" s="6"/>
      <c r="V84" s="6">
        <f>U83</f>
        <v>0.05</v>
      </c>
      <c r="W84" s="6">
        <f t="shared" si="17"/>
        <v>0.1</v>
      </c>
      <c r="X84" s="6">
        <f t="shared" si="17"/>
        <v>0.15</v>
      </c>
      <c r="Y84" s="6">
        <f t="shared" si="17"/>
        <v>0.2</v>
      </c>
      <c r="Z84" s="6">
        <f t="shared" si="17"/>
        <v>0.25</v>
      </c>
      <c r="AA84" s="6">
        <f t="shared" si="17"/>
        <v>0.3</v>
      </c>
      <c r="AB84" s="6">
        <f t="shared" si="17"/>
        <v>0.35</v>
      </c>
      <c r="AC84" s="6">
        <f t="shared" si="17"/>
        <v>0.4</v>
      </c>
      <c r="AD84" s="6">
        <f t="shared" si="17"/>
        <v>0.45</v>
      </c>
      <c r="AE84" s="6">
        <f t="shared" si="17"/>
        <v>0.5</v>
      </c>
      <c r="AF84" s="6">
        <f t="shared" si="17"/>
        <v>0.5</v>
      </c>
      <c r="AG84" s="6">
        <f t="shared" si="17"/>
        <v>0.5</v>
      </c>
      <c r="AH84" s="6">
        <f t="shared" si="17"/>
        <v>0.5</v>
      </c>
      <c r="AI84" s="6">
        <f t="shared" si="17"/>
        <v>0.5</v>
      </c>
      <c r="AJ84" s="6">
        <f t="shared" si="17"/>
        <v>0.5</v>
      </c>
      <c r="AK84" s="6">
        <f t="shared" si="17"/>
        <v>0.5</v>
      </c>
      <c r="AL84" s="6">
        <f t="shared" si="17"/>
        <v>0.5</v>
      </c>
      <c r="AO84" s="8">
        <f>ROW()</f>
        <v>84</v>
      </c>
    </row>
    <row r="85" spans="1:41" s="38" customFormat="1" ht="13.9" customHeight="1" x14ac:dyDescent="0.2">
      <c r="A85" s="6"/>
      <c r="B85" s="208" t="s">
        <v>232</v>
      </c>
      <c r="C85" s="215"/>
      <c r="D85" s="215"/>
      <c r="E85" s="215"/>
      <c r="F85" s="215"/>
      <c r="G85" s="84"/>
      <c r="H85" s="84">
        <f t="shared" si="18"/>
        <v>2019</v>
      </c>
      <c r="I85" s="84"/>
      <c r="J85" s="84"/>
      <c r="K85" s="84"/>
      <c r="L85" s="84"/>
      <c r="M85" s="215"/>
      <c r="N85" s="215"/>
      <c r="O85" s="215"/>
      <c r="P85" s="6"/>
      <c r="Q85" s="6"/>
      <c r="R85" s="6"/>
      <c r="S85" s="6"/>
      <c r="T85" s="6"/>
      <c r="U85" s="6"/>
      <c r="V85" s="6"/>
      <c r="W85" s="6">
        <f>V84</f>
        <v>0.05</v>
      </c>
      <c r="X85" s="6">
        <f t="shared" si="17"/>
        <v>0.1</v>
      </c>
      <c r="Y85" s="6">
        <f t="shared" si="17"/>
        <v>0.15</v>
      </c>
      <c r="Z85" s="6">
        <f t="shared" si="17"/>
        <v>0.2</v>
      </c>
      <c r="AA85" s="6">
        <f t="shared" si="17"/>
        <v>0.25</v>
      </c>
      <c r="AB85" s="6">
        <f t="shared" si="17"/>
        <v>0.3</v>
      </c>
      <c r="AC85" s="6">
        <f t="shared" si="17"/>
        <v>0.35</v>
      </c>
      <c r="AD85" s="6">
        <f t="shared" si="17"/>
        <v>0.4</v>
      </c>
      <c r="AE85" s="6">
        <f t="shared" si="17"/>
        <v>0.45</v>
      </c>
      <c r="AF85" s="6">
        <f t="shared" si="17"/>
        <v>0.5</v>
      </c>
      <c r="AG85" s="6">
        <f t="shared" si="17"/>
        <v>0.5</v>
      </c>
      <c r="AH85" s="6">
        <f t="shared" si="17"/>
        <v>0.5</v>
      </c>
      <c r="AI85" s="6">
        <f t="shared" si="17"/>
        <v>0.5</v>
      </c>
      <c r="AJ85" s="6">
        <f t="shared" si="17"/>
        <v>0.5</v>
      </c>
      <c r="AK85" s="6">
        <f t="shared" si="17"/>
        <v>0.5</v>
      </c>
      <c r="AL85" s="6">
        <f t="shared" si="17"/>
        <v>0.5</v>
      </c>
      <c r="AO85" s="8">
        <f>ROW()</f>
        <v>85</v>
      </c>
    </row>
    <row r="86" spans="1:41" s="38" customFormat="1" ht="13.9" customHeight="1" x14ac:dyDescent="0.2">
      <c r="A86" s="6"/>
      <c r="B86" s="208" t="s">
        <v>232</v>
      </c>
      <c r="C86" s="215"/>
      <c r="D86" s="215"/>
      <c r="E86" s="215"/>
      <c r="F86" s="215"/>
      <c r="G86" s="84"/>
      <c r="H86" s="84">
        <f t="shared" si="18"/>
        <v>2020</v>
      </c>
      <c r="I86" s="84"/>
      <c r="J86" s="84"/>
      <c r="K86" s="84"/>
      <c r="L86" s="84"/>
      <c r="M86" s="215"/>
      <c r="N86" s="215"/>
      <c r="O86" s="215"/>
      <c r="P86" s="6"/>
      <c r="Q86" s="6"/>
      <c r="R86" s="6"/>
      <c r="S86" s="6"/>
      <c r="T86" s="29"/>
      <c r="U86" s="6"/>
      <c r="V86" s="6"/>
      <c r="W86" s="6"/>
      <c r="X86" s="6">
        <f>W85</f>
        <v>0.05</v>
      </c>
      <c r="Y86" s="6">
        <f t="shared" si="17"/>
        <v>0.1</v>
      </c>
      <c r="Z86" s="6">
        <f t="shared" si="17"/>
        <v>0.15</v>
      </c>
      <c r="AA86" s="6">
        <f t="shared" si="17"/>
        <v>0.2</v>
      </c>
      <c r="AB86" s="6">
        <f t="shared" si="17"/>
        <v>0.25</v>
      </c>
      <c r="AC86" s="6">
        <f t="shared" si="17"/>
        <v>0.3</v>
      </c>
      <c r="AD86" s="6">
        <f t="shared" si="17"/>
        <v>0.35</v>
      </c>
      <c r="AE86" s="6">
        <f t="shared" si="17"/>
        <v>0.4</v>
      </c>
      <c r="AF86" s="6">
        <f t="shared" si="17"/>
        <v>0.45</v>
      </c>
      <c r="AG86" s="6">
        <f t="shared" si="17"/>
        <v>0.5</v>
      </c>
      <c r="AH86" s="6">
        <f t="shared" si="17"/>
        <v>0.5</v>
      </c>
      <c r="AI86" s="6">
        <f t="shared" si="17"/>
        <v>0.5</v>
      </c>
      <c r="AJ86" s="6">
        <f t="shared" si="17"/>
        <v>0.5</v>
      </c>
      <c r="AK86" s="6">
        <f t="shared" si="17"/>
        <v>0.5</v>
      </c>
      <c r="AL86" s="6">
        <f t="shared" si="17"/>
        <v>0.5</v>
      </c>
      <c r="AO86" s="8">
        <f>ROW()</f>
        <v>86</v>
      </c>
    </row>
    <row r="87" spans="1:41" s="38" customFormat="1" ht="13.9" customHeight="1" x14ac:dyDescent="0.2">
      <c r="A87" s="6"/>
      <c r="B87" s="208" t="s">
        <v>232</v>
      </c>
      <c r="C87" s="215"/>
      <c r="D87" s="215"/>
      <c r="E87" s="215"/>
      <c r="F87" s="215"/>
      <c r="G87" s="84"/>
      <c r="H87" s="84">
        <f t="shared" si="18"/>
        <v>2021</v>
      </c>
      <c r="I87" s="84"/>
      <c r="J87" s="84"/>
      <c r="K87" s="84"/>
      <c r="L87" s="84"/>
      <c r="M87" s="215"/>
      <c r="N87" s="215"/>
      <c r="O87" s="215"/>
      <c r="P87" s="6"/>
      <c r="Q87" s="6"/>
      <c r="R87" s="6"/>
      <c r="S87" s="6"/>
      <c r="T87" s="29"/>
      <c r="U87" s="6"/>
      <c r="V87" s="6"/>
      <c r="W87" s="6"/>
      <c r="X87" s="6"/>
      <c r="Y87" s="6">
        <f>X86</f>
        <v>0.05</v>
      </c>
      <c r="Z87" s="6">
        <f t="shared" si="17"/>
        <v>0.1</v>
      </c>
      <c r="AA87" s="6">
        <f t="shared" si="17"/>
        <v>0.15</v>
      </c>
      <c r="AB87" s="6">
        <f t="shared" si="17"/>
        <v>0.2</v>
      </c>
      <c r="AC87" s="6">
        <f t="shared" si="17"/>
        <v>0.25</v>
      </c>
      <c r="AD87" s="6">
        <f t="shared" si="17"/>
        <v>0.3</v>
      </c>
      <c r="AE87" s="6">
        <f t="shared" si="17"/>
        <v>0.35</v>
      </c>
      <c r="AF87" s="6">
        <f t="shared" si="17"/>
        <v>0.4</v>
      </c>
      <c r="AG87" s="6">
        <f t="shared" si="17"/>
        <v>0.45</v>
      </c>
      <c r="AH87" s="6">
        <f t="shared" si="17"/>
        <v>0.5</v>
      </c>
      <c r="AI87" s="6">
        <f t="shared" si="17"/>
        <v>0.5</v>
      </c>
      <c r="AJ87" s="6">
        <f t="shared" si="17"/>
        <v>0.5</v>
      </c>
      <c r="AK87" s="6">
        <f t="shared" si="17"/>
        <v>0.5</v>
      </c>
      <c r="AL87" s="6">
        <f t="shared" si="17"/>
        <v>0.5</v>
      </c>
      <c r="AO87" s="8">
        <f>ROW()</f>
        <v>87</v>
      </c>
    </row>
    <row r="88" spans="1:41" s="38" customFormat="1" ht="13.9" customHeight="1" x14ac:dyDescent="0.2">
      <c r="A88" s="6"/>
      <c r="B88" s="208" t="s">
        <v>232</v>
      </c>
      <c r="C88" s="215"/>
      <c r="D88" s="215"/>
      <c r="E88" s="215"/>
      <c r="F88" s="215"/>
      <c r="G88" s="84"/>
      <c r="H88" s="84">
        <f t="shared" si="18"/>
        <v>2022</v>
      </c>
      <c r="I88" s="84"/>
      <c r="J88" s="84"/>
      <c r="K88" s="84"/>
      <c r="L88" s="84"/>
      <c r="M88" s="215"/>
      <c r="N88" s="215"/>
      <c r="O88" s="215"/>
      <c r="P88" s="6"/>
      <c r="Q88" s="6"/>
      <c r="R88" s="6"/>
      <c r="S88" s="6"/>
      <c r="T88" s="29"/>
      <c r="U88" s="6"/>
      <c r="V88" s="6"/>
      <c r="W88" s="6"/>
      <c r="X88" s="6"/>
      <c r="Y88" s="6"/>
      <c r="Z88" s="6">
        <f>Y87</f>
        <v>0.05</v>
      </c>
      <c r="AA88" s="6">
        <f t="shared" si="17"/>
        <v>0.1</v>
      </c>
      <c r="AB88" s="6">
        <f t="shared" si="17"/>
        <v>0.15</v>
      </c>
      <c r="AC88" s="6">
        <f t="shared" si="17"/>
        <v>0.2</v>
      </c>
      <c r="AD88" s="6">
        <f t="shared" si="17"/>
        <v>0.25</v>
      </c>
      <c r="AE88" s="6">
        <f t="shared" si="17"/>
        <v>0.3</v>
      </c>
      <c r="AF88" s="6">
        <f t="shared" si="17"/>
        <v>0.35</v>
      </c>
      <c r="AG88" s="6">
        <f t="shared" si="17"/>
        <v>0.4</v>
      </c>
      <c r="AH88" s="6">
        <f t="shared" si="17"/>
        <v>0.45</v>
      </c>
      <c r="AI88" s="6">
        <f t="shared" si="17"/>
        <v>0.5</v>
      </c>
      <c r="AJ88" s="6">
        <f t="shared" si="17"/>
        <v>0.5</v>
      </c>
      <c r="AK88" s="6">
        <f t="shared" si="17"/>
        <v>0.5</v>
      </c>
      <c r="AL88" s="6">
        <f t="shared" si="17"/>
        <v>0.5</v>
      </c>
      <c r="AO88" s="8">
        <f>ROW()</f>
        <v>88</v>
      </c>
    </row>
    <row r="89" spans="1:41" s="38" customFormat="1" ht="13.9" customHeight="1" x14ac:dyDescent="0.2">
      <c r="A89" s="6"/>
      <c r="B89" s="208" t="s">
        <v>232</v>
      </c>
      <c r="C89" s="215"/>
      <c r="D89" s="215"/>
      <c r="E89" s="215"/>
      <c r="F89" s="215"/>
      <c r="G89" s="84"/>
      <c r="H89" s="84">
        <f t="shared" si="18"/>
        <v>2023</v>
      </c>
      <c r="I89" s="84"/>
      <c r="J89" s="84"/>
      <c r="K89" s="84"/>
      <c r="L89" s="84"/>
      <c r="M89" s="215"/>
      <c r="N89" s="215"/>
      <c r="O89" s="215"/>
      <c r="P89" s="6"/>
      <c r="Q89" s="6"/>
      <c r="R89" s="6"/>
      <c r="S89" s="6"/>
      <c r="T89" s="29"/>
      <c r="U89" s="6"/>
      <c r="V89" s="6"/>
      <c r="W89" s="6"/>
      <c r="X89" s="6"/>
      <c r="Y89" s="6"/>
      <c r="Z89" s="6"/>
      <c r="AA89" s="6">
        <f>Z88</f>
        <v>0.05</v>
      </c>
      <c r="AB89" s="6">
        <f t="shared" si="17"/>
        <v>0.1</v>
      </c>
      <c r="AC89" s="6">
        <f t="shared" si="17"/>
        <v>0.15</v>
      </c>
      <c r="AD89" s="6">
        <f t="shared" si="17"/>
        <v>0.2</v>
      </c>
      <c r="AE89" s="6">
        <f t="shared" si="17"/>
        <v>0.25</v>
      </c>
      <c r="AF89" s="6">
        <f t="shared" si="17"/>
        <v>0.3</v>
      </c>
      <c r="AG89" s="6">
        <f t="shared" si="17"/>
        <v>0.35</v>
      </c>
      <c r="AH89" s="6">
        <f t="shared" si="17"/>
        <v>0.4</v>
      </c>
      <c r="AI89" s="6">
        <f t="shared" si="17"/>
        <v>0.45</v>
      </c>
      <c r="AJ89" s="6">
        <f t="shared" si="17"/>
        <v>0.5</v>
      </c>
      <c r="AK89" s="6">
        <f t="shared" si="17"/>
        <v>0.5</v>
      </c>
      <c r="AL89" s="6">
        <f t="shared" si="17"/>
        <v>0.5</v>
      </c>
      <c r="AO89" s="8">
        <f>ROW()</f>
        <v>89</v>
      </c>
    </row>
    <row r="90" spans="1:41" s="38" customFormat="1" ht="13.9" customHeight="1" x14ac:dyDescent="0.2">
      <c r="A90" s="6"/>
      <c r="B90" s="208" t="s">
        <v>232</v>
      </c>
      <c r="C90" s="215"/>
      <c r="D90" s="215"/>
      <c r="E90" s="215"/>
      <c r="F90" s="215"/>
      <c r="G90" s="84"/>
      <c r="H90" s="84">
        <f t="shared" si="18"/>
        <v>2024</v>
      </c>
      <c r="I90" s="84"/>
      <c r="J90" s="84"/>
      <c r="K90" s="84"/>
      <c r="L90" s="84"/>
      <c r="M90" s="215"/>
      <c r="N90" s="215"/>
      <c r="O90" s="215"/>
      <c r="P90" s="6"/>
      <c r="Q90" s="6"/>
      <c r="R90" s="6"/>
      <c r="S90" s="6"/>
      <c r="T90" s="29"/>
      <c r="U90" s="6"/>
      <c r="V90" s="6"/>
      <c r="W90" s="6"/>
      <c r="X90" s="6"/>
      <c r="Y90" s="6"/>
      <c r="Z90" s="6"/>
      <c r="AA90" s="6"/>
      <c r="AB90" s="6">
        <f>AA89</f>
        <v>0.05</v>
      </c>
      <c r="AC90" s="6">
        <f t="shared" si="17"/>
        <v>0.1</v>
      </c>
      <c r="AD90" s="6">
        <f t="shared" si="17"/>
        <v>0.15</v>
      </c>
      <c r="AE90" s="6">
        <f t="shared" si="17"/>
        <v>0.2</v>
      </c>
      <c r="AF90" s="6">
        <f t="shared" si="17"/>
        <v>0.25</v>
      </c>
      <c r="AG90" s="6">
        <f t="shared" si="17"/>
        <v>0.3</v>
      </c>
      <c r="AH90" s="6">
        <f t="shared" si="17"/>
        <v>0.35</v>
      </c>
      <c r="AI90" s="6">
        <f t="shared" si="17"/>
        <v>0.4</v>
      </c>
      <c r="AJ90" s="6">
        <f t="shared" si="17"/>
        <v>0.45</v>
      </c>
      <c r="AK90" s="6">
        <f t="shared" si="17"/>
        <v>0.5</v>
      </c>
      <c r="AL90" s="6">
        <f t="shared" si="17"/>
        <v>0.5</v>
      </c>
      <c r="AO90" s="8">
        <f>ROW()</f>
        <v>90</v>
      </c>
    </row>
    <row r="91" spans="1:41" s="38" customFormat="1" ht="13.9" customHeight="1" x14ac:dyDescent="0.2">
      <c r="A91" s="6"/>
      <c r="B91" s="208" t="s">
        <v>232</v>
      </c>
      <c r="C91" s="215"/>
      <c r="D91" s="215"/>
      <c r="E91" s="215"/>
      <c r="F91" s="215"/>
      <c r="G91" s="84"/>
      <c r="H91" s="84">
        <f t="shared" si="18"/>
        <v>2025</v>
      </c>
      <c r="I91" s="84"/>
      <c r="J91" s="84"/>
      <c r="K91" s="84"/>
      <c r="L91" s="84"/>
      <c r="M91" s="215"/>
      <c r="N91" s="215"/>
      <c r="O91" s="215"/>
      <c r="P91" s="6"/>
      <c r="Q91" s="6"/>
      <c r="R91" s="6"/>
      <c r="S91" s="6"/>
      <c r="T91" s="29"/>
      <c r="U91" s="6"/>
      <c r="V91" s="6"/>
      <c r="W91" s="6"/>
      <c r="X91" s="6"/>
      <c r="Y91" s="6"/>
      <c r="Z91" s="6"/>
      <c r="AA91" s="6"/>
      <c r="AB91" s="6"/>
      <c r="AC91" s="6">
        <f t="shared" ref="AC91:AL91" si="23">AB90</f>
        <v>0.05</v>
      </c>
      <c r="AD91" s="6">
        <f t="shared" si="23"/>
        <v>0.1</v>
      </c>
      <c r="AE91" s="6">
        <f t="shared" si="23"/>
        <v>0.15</v>
      </c>
      <c r="AF91" s="6">
        <f t="shared" si="23"/>
        <v>0.2</v>
      </c>
      <c r="AG91" s="6">
        <f t="shared" si="23"/>
        <v>0.25</v>
      </c>
      <c r="AH91" s="6">
        <f t="shared" si="23"/>
        <v>0.3</v>
      </c>
      <c r="AI91" s="6">
        <f t="shared" si="23"/>
        <v>0.35</v>
      </c>
      <c r="AJ91" s="6">
        <f t="shared" si="23"/>
        <v>0.4</v>
      </c>
      <c r="AK91" s="6">
        <f t="shared" si="23"/>
        <v>0.45</v>
      </c>
      <c r="AL91" s="6">
        <f t="shared" si="23"/>
        <v>0.5</v>
      </c>
      <c r="AO91" s="8">
        <f>ROW()</f>
        <v>91</v>
      </c>
    </row>
    <row r="92" spans="1:41" s="38" customFormat="1" ht="13.9" customHeight="1" x14ac:dyDescent="0.2">
      <c r="A92" s="6"/>
      <c r="B92" s="208" t="s">
        <v>232</v>
      </c>
      <c r="C92" s="215"/>
      <c r="D92" s="215"/>
      <c r="E92" s="215"/>
      <c r="F92" s="215"/>
      <c r="G92" s="84"/>
      <c r="H92" s="84">
        <f t="shared" si="18"/>
        <v>2026</v>
      </c>
      <c r="I92" s="84"/>
      <c r="J92" s="84"/>
      <c r="K92" s="84"/>
      <c r="L92" s="84"/>
      <c r="M92" s="215"/>
      <c r="N92" s="215"/>
      <c r="O92" s="215"/>
      <c r="P92" s="6"/>
      <c r="Q92" s="6"/>
      <c r="R92" s="6"/>
      <c r="S92" s="6"/>
      <c r="T92" s="29"/>
      <c r="U92" s="6"/>
      <c r="V92" s="6"/>
      <c r="W92" s="6"/>
      <c r="X92" s="6"/>
      <c r="Y92" s="6"/>
      <c r="Z92" s="6"/>
      <c r="AA92" s="6"/>
      <c r="AB92" s="6"/>
      <c r="AC92" s="6"/>
      <c r="AD92" s="6">
        <f t="shared" ref="AD92:AL92" si="24">AC91</f>
        <v>0.05</v>
      </c>
      <c r="AE92" s="6">
        <f t="shared" si="24"/>
        <v>0.1</v>
      </c>
      <c r="AF92" s="6">
        <f t="shared" si="24"/>
        <v>0.15</v>
      </c>
      <c r="AG92" s="6">
        <f t="shared" si="24"/>
        <v>0.2</v>
      </c>
      <c r="AH92" s="6">
        <f t="shared" si="24"/>
        <v>0.25</v>
      </c>
      <c r="AI92" s="6">
        <f t="shared" si="24"/>
        <v>0.3</v>
      </c>
      <c r="AJ92" s="6">
        <f t="shared" si="24"/>
        <v>0.35</v>
      </c>
      <c r="AK92" s="6">
        <f t="shared" si="24"/>
        <v>0.4</v>
      </c>
      <c r="AL92" s="6">
        <f t="shared" si="24"/>
        <v>0.45</v>
      </c>
      <c r="AO92" s="8">
        <f>ROW()</f>
        <v>92</v>
      </c>
    </row>
    <row r="93" spans="1:41" s="38" customFormat="1" ht="13.9" customHeight="1" x14ac:dyDescent="0.2">
      <c r="A93" s="6"/>
      <c r="B93" s="208" t="s">
        <v>232</v>
      </c>
      <c r="C93" s="215"/>
      <c r="D93" s="215"/>
      <c r="E93" s="215"/>
      <c r="F93" s="215"/>
      <c r="G93" s="84"/>
      <c r="H93" s="84">
        <f t="shared" si="18"/>
        <v>2027</v>
      </c>
      <c r="I93" s="84"/>
      <c r="J93" s="84"/>
      <c r="K93" s="84"/>
      <c r="L93" s="84"/>
      <c r="M93" s="215"/>
      <c r="N93" s="215"/>
      <c r="O93" s="215"/>
      <c r="P93" s="6"/>
      <c r="Q93" s="6"/>
      <c r="R93" s="6"/>
      <c r="S93" s="6"/>
      <c r="T93" s="29"/>
      <c r="U93" s="6"/>
      <c r="V93" s="6"/>
      <c r="W93" s="6"/>
      <c r="X93" s="6"/>
      <c r="Y93" s="6"/>
      <c r="Z93" s="6"/>
      <c r="AA93" s="6"/>
      <c r="AB93" s="6"/>
      <c r="AC93" s="6"/>
      <c r="AD93" s="6"/>
      <c r="AE93" s="6">
        <f>AD92</f>
        <v>0.05</v>
      </c>
      <c r="AF93" s="6">
        <f t="shared" ref="AF93:AL98" si="25">AE92</f>
        <v>0.1</v>
      </c>
      <c r="AG93" s="6">
        <f t="shared" si="25"/>
        <v>0.15</v>
      </c>
      <c r="AH93" s="6">
        <f t="shared" si="25"/>
        <v>0.2</v>
      </c>
      <c r="AI93" s="6">
        <f t="shared" si="25"/>
        <v>0.25</v>
      </c>
      <c r="AJ93" s="6">
        <f t="shared" si="25"/>
        <v>0.3</v>
      </c>
      <c r="AK93" s="6">
        <f t="shared" si="25"/>
        <v>0.35</v>
      </c>
      <c r="AL93" s="6">
        <f t="shared" si="25"/>
        <v>0.4</v>
      </c>
      <c r="AO93" s="8">
        <f>ROW()</f>
        <v>93</v>
      </c>
    </row>
    <row r="94" spans="1:41" s="38" customFormat="1" ht="13.9" customHeight="1" x14ac:dyDescent="0.2">
      <c r="A94" s="6"/>
      <c r="B94" s="208" t="s">
        <v>232</v>
      </c>
      <c r="C94" s="215"/>
      <c r="D94" s="215"/>
      <c r="E94" s="215"/>
      <c r="F94" s="215"/>
      <c r="G94" s="84"/>
      <c r="H94" s="84">
        <f t="shared" si="18"/>
        <v>2028</v>
      </c>
      <c r="I94" s="84"/>
      <c r="J94" s="84"/>
      <c r="K94" s="208"/>
      <c r="L94" s="208"/>
      <c r="M94" s="215"/>
      <c r="N94" s="215"/>
      <c r="O94" s="215"/>
      <c r="P94" s="6"/>
      <c r="Q94" s="6"/>
      <c r="R94" s="6"/>
      <c r="S94" s="6"/>
      <c r="T94" s="29"/>
      <c r="U94" s="6"/>
      <c r="V94" s="6"/>
      <c r="W94" s="6"/>
      <c r="X94" s="6"/>
      <c r="Y94" s="6"/>
      <c r="Z94" s="6"/>
      <c r="AA94" s="6"/>
      <c r="AB94" s="6"/>
      <c r="AC94" s="6"/>
      <c r="AD94" s="6"/>
      <c r="AE94" s="6"/>
      <c r="AF94" s="6">
        <f>AE93</f>
        <v>0.05</v>
      </c>
      <c r="AG94" s="6">
        <f t="shared" si="25"/>
        <v>0.1</v>
      </c>
      <c r="AH94" s="6">
        <f t="shared" si="25"/>
        <v>0.15</v>
      </c>
      <c r="AI94" s="6">
        <f t="shared" si="25"/>
        <v>0.2</v>
      </c>
      <c r="AJ94" s="6">
        <f t="shared" si="25"/>
        <v>0.25</v>
      </c>
      <c r="AK94" s="6">
        <f t="shared" si="25"/>
        <v>0.3</v>
      </c>
      <c r="AL94" s="6">
        <f t="shared" si="25"/>
        <v>0.35</v>
      </c>
      <c r="AO94" s="8">
        <f>ROW()</f>
        <v>94</v>
      </c>
    </row>
    <row r="95" spans="1:41" s="38" customFormat="1" ht="13.9" customHeight="1" x14ac:dyDescent="0.2">
      <c r="A95" s="6"/>
      <c r="B95" s="208" t="s">
        <v>232</v>
      </c>
      <c r="C95" s="215"/>
      <c r="D95" s="215"/>
      <c r="E95" s="215"/>
      <c r="F95" s="215"/>
      <c r="G95" s="84"/>
      <c r="H95" s="84">
        <f t="shared" si="18"/>
        <v>2029</v>
      </c>
      <c r="I95" s="84"/>
      <c r="J95" s="84"/>
      <c r="K95" s="208"/>
      <c r="L95" s="208"/>
      <c r="M95" s="84"/>
      <c r="N95" s="84"/>
      <c r="O95" s="84"/>
      <c r="P95" s="6"/>
      <c r="Q95" s="6"/>
      <c r="R95" s="6"/>
      <c r="S95" s="6"/>
      <c r="T95" s="29"/>
      <c r="U95" s="6"/>
      <c r="V95" s="6"/>
      <c r="W95" s="6"/>
      <c r="X95" s="6"/>
      <c r="Y95" s="6"/>
      <c r="Z95" s="6"/>
      <c r="AA95" s="6"/>
      <c r="AB95" s="6"/>
      <c r="AC95" s="6"/>
      <c r="AD95" s="6"/>
      <c r="AE95" s="6"/>
      <c r="AF95" s="6"/>
      <c r="AG95" s="6">
        <f>AF94</f>
        <v>0.05</v>
      </c>
      <c r="AH95" s="6">
        <f t="shared" si="25"/>
        <v>0.1</v>
      </c>
      <c r="AI95" s="6">
        <f t="shared" si="25"/>
        <v>0.15</v>
      </c>
      <c r="AJ95" s="6">
        <f t="shared" si="25"/>
        <v>0.2</v>
      </c>
      <c r="AK95" s="6">
        <f t="shared" si="25"/>
        <v>0.25</v>
      </c>
      <c r="AL95" s="6">
        <f t="shared" si="25"/>
        <v>0.3</v>
      </c>
      <c r="AO95" s="8">
        <f>ROW()</f>
        <v>95</v>
      </c>
    </row>
    <row r="96" spans="1:41" s="38" customFormat="1" ht="13.9" customHeight="1" x14ac:dyDescent="0.2">
      <c r="A96" s="6"/>
      <c r="B96" s="208" t="s">
        <v>232</v>
      </c>
      <c r="C96" s="215"/>
      <c r="D96" s="215"/>
      <c r="E96" s="215"/>
      <c r="F96" s="215"/>
      <c r="G96" s="84"/>
      <c r="H96" s="84">
        <f t="shared" si="18"/>
        <v>2030</v>
      </c>
      <c r="I96" s="84"/>
      <c r="J96" s="84"/>
      <c r="K96" s="208"/>
      <c r="L96" s="208"/>
      <c r="M96" s="84"/>
      <c r="N96" s="84"/>
      <c r="O96" s="84"/>
      <c r="P96" s="6"/>
      <c r="Q96" s="6"/>
      <c r="R96" s="6"/>
      <c r="S96" s="6"/>
      <c r="T96" s="29"/>
      <c r="U96" s="6"/>
      <c r="V96" s="6"/>
      <c r="W96" s="6"/>
      <c r="X96" s="6"/>
      <c r="Y96" s="6"/>
      <c r="Z96" s="6"/>
      <c r="AA96" s="6"/>
      <c r="AB96" s="6"/>
      <c r="AC96" s="6"/>
      <c r="AD96" s="6"/>
      <c r="AE96" s="6"/>
      <c r="AF96" s="6"/>
      <c r="AG96" s="6"/>
      <c r="AH96" s="6">
        <f>AG95</f>
        <v>0.05</v>
      </c>
      <c r="AI96" s="6">
        <f t="shared" si="25"/>
        <v>0.1</v>
      </c>
      <c r="AJ96" s="6">
        <f t="shared" si="25"/>
        <v>0.15</v>
      </c>
      <c r="AK96" s="6">
        <f t="shared" si="25"/>
        <v>0.2</v>
      </c>
      <c r="AL96" s="6">
        <f t="shared" si="25"/>
        <v>0.25</v>
      </c>
      <c r="AO96" s="8">
        <f>ROW()</f>
        <v>96</v>
      </c>
    </row>
    <row r="97" spans="1:41" s="38" customFormat="1" ht="13.9" customHeight="1" x14ac:dyDescent="0.2">
      <c r="A97" s="6"/>
      <c r="B97" s="208" t="s">
        <v>232</v>
      </c>
      <c r="C97" s="215"/>
      <c r="D97" s="215"/>
      <c r="E97" s="215"/>
      <c r="F97" s="215"/>
      <c r="G97" s="84"/>
      <c r="H97" s="84">
        <f t="shared" si="18"/>
        <v>2031</v>
      </c>
      <c r="I97" s="84"/>
      <c r="J97" s="84"/>
      <c r="K97" s="208"/>
      <c r="L97" s="208"/>
      <c r="M97" s="84"/>
      <c r="N97" s="84"/>
      <c r="O97" s="84"/>
      <c r="P97" s="6"/>
      <c r="Q97" s="6"/>
      <c r="R97" s="6"/>
      <c r="S97" s="6"/>
      <c r="T97" s="29"/>
      <c r="U97" s="6"/>
      <c r="V97" s="6"/>
      <c r="W97" s="6"/>
      <c r="X97" s="6"/>
      <c r="Y97" s="6"/>
      <c r="Z97" s="6"/>
      <c r="AA97" s="6"/>
      <c r="AB97" s="6"/>
      <c r="AC97" s="6"/>
      <c r="AD97" s="6"/>
      <c r="AE97" s="6"/>
      <c r="AF97" s="6"/>
      <c r="AG97" s="6"/>
      <c r="AH97" s="6"/>
      <c r="AI97" s="6">
        <f>AH96</f>
        <v>0.05</v>
      </c>
      <c r="AJ97" s="6">
        <f t="shared" si="25"/>
        <v>0.1</v>
      </c>
      <c r="AK97" s="6">
        <f t="shared" si="25"/>
        <v>0.15</v>
      </c>
      <c r="AL97" s="6">
        <f t="shared" si="25"/>
        <v>0.2</v>
      </c>
      <c r="AO97" s="8">
        <f>ROW()</f>
        <v>97</v>
      </c>
    </row>
    <row r="98" spans="1:41" s="38" customFormat="1" ht="13.9" customHeight="1" x14ac:dyDescent="0.2">
      <c r="A98" s="6"/>
      <c r="B98" s="208" t="s">
        <v>232</v>
      </c>
      <c r="C98" s="215"/>
      <c r="D98" s="215"/>
      <c r="E98" s="215"/>
      <c r="F98" s="215"/>
      <c r="G98" s="84"/>
      <c r="H98" s="84">
        <f t="shared" si="18"/>
        <v>2032</v>
      </c>
      <c r="I98" s="84"/>
      <c r="J98" s="84"/>
      <c r="K98" s="208"/>
      <c r="L98" s="208"/>
      <c r="M98" s="84"/>
      <c r="N98" s="84"/>
      <c r="O98" s="84"/>
      <c r="P98" s="6"/>
      <c r="Q98" s="6"/>
      <c r="R98" s="6"/>
      <c r="S98" s="6"/>
      <c r="T98" s="29"/>
      <c r="U98" s="6"/>
      <c r="V98" s="6"/>
      <c r="W98" s="6"/>
      <c r="X98" s="6"/>
      <c r="Y98" s="6"/>
      <c r="Z98" s="6"/>
      <c r="AA98" s="6"/>
      <c r="AB98" s="6"/>
      <c r="AC98" s="6"/>
      <c r="AD98" s="6"/>
      <c r="AE98" s="6"/>
      <c r="AF98" s="6"/>
      <c r="AG98" s="6"/>
      <c r="AH98" s="6"/>
      <c r="AI98" s="6"/>
      <c r="AJ98" s="6">
        <f>AI97</f>
        <v>0.05</v>
      </c>
      <c r="AK98" s="6">
        <f t="shared" si="25"/>
        <v>0.1</v>
      </c>
      <c r="AL98" s="6">
        <f t="shared" si="25"/>
        <v>0.15</v>
      </c>
      <c r="AO98" s="8">
        <f>ROW()</f>
        <v>98</v>
      </c>
    </row>
    <row r="99" spans="1:41" s="38" customFormat="1" ht="13.9" customHeight="1" x14ac:dyDescent="0.2">
      <c r="A99" s="6"/>
      <c r="B99" s="208" t="s">
        <v>232</v>
      </c>
      <c r="C99" s="215"/>
      <c r="D99" s="215"/>
      <c r="E99" s="215"/>
      <c r="F99" s="215"/>
      <c r="G99" s="84"/>
      <c r="H99" s="84">
        <f t="shared" si="18"/>
        <v>2033</v>
      </c>
      <c r="I99" s="84"/>
      <c r="J99" s="84"/>
      <c r="K99" s="208"/>
      <c r="L99" s="208"/>
      <c r="M99" s="84"/>
      <c r="N99" s="84"/>
      <c r="O99" s="84"/>
      <c r="P99" s="6"/>
      <c r="Q99" s="6"/>
      <c r="R99" s="6"/>
      <c r="S99" s="6"/>
      <c r="T99" s="29"/>
      <c r="U99" s="6"/>
      <c r="V99" s="6"/>
      <c r="W99" s="6"/>
      <c r="X99" s="6"/>
      <c r="Y99" s="6"/>
      <c r="Z99" s="6"/>
      <c r="AA99" s="6"/>
      <c r="AB99" s="6"/>
      <c r="AC99" s="6"/>
      <c r="AD99" s="6"/>
      <c r="AE99" s="6"/>
      <c r="AF99" s="6"/>
      <c r="AG99" s="6"/>
      <c r="AH99" s="6"/>
      <c r="AI99" s="6"/>
      <c r="AJ99" s="6"/>
      <c r="AK99" s="6">
        <f>AJ98</f>
        <v>0.05</v>
      </c>
      <c r="AL99" s="6">
        <f>AK98</f>
        <v>0.1</v>
      </c>
      <c r="AO99" s="8">
        <f>ROW()</f>
        <v>99</v>
      </c>
    </row>
    <row r="100" spans="1:41" s="38" customFormat="1" ht="13.9" customHeight="1" x14ac:dyDescent="0.2">
      <c r="A100" s="16"/>
      <c r="B100" s="208" t="s">
        <v>232</v>
      </c>
      <c r="C100" s="215"/>
      <c r="D100" s="215"/>
      <c r="E100" s="215"/>
      <c r="F100" s="215"/>
      <c r="G100" s="84"/>
      <c r="H100" s="84">
        <f t="shared" si="18"/>
        <v>2034</v>
      </c>
      <c r="I100" s="84"/>
      <c r="J100" s="84"/>
      <c r="K100" s="208"/>
      <c r="L100" s="208"/>
      <c r="M100" s="84"/>
      <c r="N100" s="84"/>
      <c r="O100" s="84"/>
      <c r="P100" s="6"/>
      <c r="Q100" s="6"/>
      <c r="R100" s="6"/>
      <c r="S100" s="6"/>
      <c r="T100" s="29"/>
      <c r="U100" s="6"/>
      <c r="V100" s="6"/>
      <c r="W100" s="6"/>
      <c r="X100" s="6"/>
      <c r="Y100" s="6"/>
      <c r="Z100" s="6"/>
      <c r="AA100" s="6"/>
      <c r="AB100" s="6"/>
      <c r="AC100" s="6"/>
      <c r="AD100" s="6"/>
      <c r="AE100" s="6"/>
      <c r="AF100" s="6"/>
      <c r="AG100" s="6"/>
      <c r="AH100" s="6"/>
      <c r="AI100" s="6"/>
      <c r="AJ100" s="6"/>
      <c r="AK100" s="6"/>
      <c r="AL100" s="6">
        <f>AK99</f>
        <v>0.05</v>
      </c>
      <c r="AO100" s="8">
        <f>ROW()</f>
        <v>100</v>
      </c>
    </row>
    <row r="101" spans="1:41" s="38" customFormat="1" ht="13.9" customHeight="1" x14ac:dyDescent="0.2">
      <c r="A101"/>
      <c r="B101" s="249"/>
      <c r="C101" s="215"/>
      <c r="D101" s="215"/>
      <c r="E101" s="215"/>
      <c r="F101" s="215"/>
      <c r="G101" s="215"/>
      <c r="H101" s="215"/>
      <c r="I101" s="215"/>
      <c r="J101" s="215"/>
      <c r="K101" s="84"/>
      <c r="L101" s="84"/>
      <c r="M101" s="84"/>
      <c r="N101" s="84"/>
      <c r="O101" s="84"/>
      <c r="AO101" s="8">
        <f>ROW()</f>
        <v>101</v>
      </c>
    </row>
    <row r="102" spans="1:41" s="39" customFormat="1" ht="13.9" customHeight="1" x14ac:dyDescent="0.2">
      <c r="A102"/>
      <c r="B102" s="250" t="s">
        <v>6</v>
      </c>
      <c r="C102" s="251"/>
      <c r="D102" s="251"/>
      <c r="E102" s="251"/>
      <c r="F102" s="251"/>
      <c r="G102" s="84"/>
      <c r="H102" s="84">
        <f>H78</f>
        <v>2012</v>
      </c>
      <c r="I102" s="84"/>
      <c r="J102" s="84"/>
      <c r="K102" s="84"/>
      <c r="L102" s="84"/>
      <c r="M102" s="84"/>
      <c r="N102" s="84"/>
      <c r="O102" s="84"/>
      <c r="P102" s="16">
        <f t="shared" ref="P102:AL102" si="26">(1+$P$67)^(-P78)</f>
        <v>0.99369888009983809</v>
      </c>
      <c r="Q102" s="16">
        <f t="shared" si="26"/>
        <v>0.98743746431167245</v>
      </c>
      <c r="R102" s="16">
        <f t="shared" si="26"/>
        <v>0.98121550245513289</v>
      </c>
      <c r="S102" s="16">
        <f t="shared" si="26"/>
        <v>0.97503274592626532</v>
      </c>
      <c r="T102" s="16">
        <f t="shared" si="26"/>
        <v>0.96888894768759981</v>
      </c>
      <c r="U102" s="16">
        <f t="shared" si="26"/>
        <v>0.96278386225827872</v>
      </c>
      <c r="V102" s="16">
        <f t="shared" si="26"/>
        <v>0.95671724570424832</v>
      </c>
      <c r="W102" s="16">
        <f t="shared" si="26"/>
        <v>0.95068885562851324</v>
      </c>
      <c r="X102" s="16">
        <f t="shared" si="26"/>
        <v>0.94469845116145035</v>
      </c>
      <c r="Y102" s="16">
        <f t="shared" si="26"/>
        <v>0.93874579295118488</v>
      </c>
      <c r="Z102" s="16">
        <f t="shared" si="26"/>
        <v>0.93874579295118488</v>
      </c>
      <c r="AA102" s="16">
        <f t="shared" si="26"/>
        <v>0.93874579295118488</v>
      </c>
      <c r="AB102" s="16">
        <f t="shared" si="26"/>
        <v>0.93874579295118488</v>
      </c>
      <c r="AC102" s="16">
        <f t="shared" si="26"/>
        <v>0.93874579295118488</v>
      </c>
      <c r="AD102" s="16">
        <f t="shared" si="26"/>
        <v>0.93874579295118488</v>
      </c>
      <c r="AE102" s="16">
        <f t="shared" si="26"/>
        <v>0.93874579295118488</v>
      </c>
      <c r="AF102" s="16">
        <f t="shared" si="26"/>
        <v>0.93874579295118488</v>
      </c>
      <c r="AG102" s="16">
        <f t="shared" si="26"/>
        <v>0.93874579295118488</v>
      </c>
      <c r="AH102" s="16">
        <f t="shared" si="26"/>
        <v>0.93874579295118488</v>
      </c>
      <c r="AI102" s="16">
        <f t="shared" si="26"/>
        <v>0.93874579295118488</v>
      </c>
      <c r="AJ102" s="16">
        <f t="shared" si="26"/>
        <v>0.93874579295118488</v>
      </c>
      <c r="AK102" s="16">
        <f t="shared" si="26"/>
        <v>0.93874579295118488</v>
      </c>
      <c r="AL102" s="16">
        <f t="shared" si="26"/>
        <v>0.93874579295118488</v>
      </c>
      <c r="AO102" s="8">
        <f>ROW()</f>
        <v>102</v>
      </c>
    </row>
    <row r="103" spans="1:41" ht="13.9" customHeight="1" x14ac:dyDescent="0.2">
      <c r="B103" s="250" t="s">
        <v>6</v>
      </c>
      <c r="C103" s="250"/>
      <c r="D103" s="84"/>
      <c r="E103" s="84"/>
      <c r="F103" s="84"/>
      <c r="G103" s="84"/>
      <c r="H103" s="84">
        <f t="shared" ref="H103:H124" si="27">H79</f>
        <v>2013</v>
      </c>
      <c r="I103" s="84"/>
      <c r="J103" s="84"/>
      <c r="K103" s="84"/>
      <c r="L103" s="84"/>
      <c r="M103" s="84"/>
      <c r="P103" s="16">
        <f>(1+$P$67)^(-P79)</f>
        <v>1</v>
      </c>
      <c r="Q103" s="16">
        <f>(1+$Q$67)^(-Q79)</f>
        <v>0.99941346307191403</v>
      </c>
      <c r="R103" s="16">
        <f>(1+$Q$67)^(-R79)</f>
        <v>0.99882727016939599</v>
      </c>
      <c r="S103" s="16">
        <f>(1+$Q$67)^(-S79)</f>
        <v>0.99824142109066227</v>
      </c>
      <c r="T103" s="16">
        <f>(1+$Q$67)^(-T79)</f>
        <v>0.99765591563404754</v>
      </c>
      <c r="U103" s="16">
        <f>(1+$Q$67)^(-U79)</f>
        <v>0.99707075359800468</v>
      </c>
      <c r="V103" s="16">
        <f t="shared" ref="V103:AL103" si="28">(1+$Q$67)^(-V79)</f>
        <v>0.99648593478110492</v>
      </c>
      <c r="W103" s="16">
        <f t="shared" si="28"/>
        <v>0.9959014589820373</v>
      </c>
      <c r="X103" s="16">
        <f t="shared" si="28"/>
        <v>0.99531732599960976</v>
      </c>
      <c r="Y103" s="16">
        <f t="shared" si="28"/>
        <v>0.99473353563274713</v>
      </c>
      <c r="Z103" s="16">
        <f t="shared" si="28"/>
        <v>0.99415008768049284</v>
      </c>
      <c r="AA103" s="16">
        <f t="shared" si="28"/>
        <v>0.99415008768049284</v>
      </c>
      <c r="AB103" s="16">
        <f t="shared" si="28"/>
        <v>0.99415008768049284</v>
      </c>
      <c r="AC103" s="16">
        <f t="shared" si="28"/>
        <v>0.99415008768049284</v>
      </c>
      <c r="AD103" s="16">
        <f t="shared" si="28"/>
        <v>0.99415008768049284</v>
      </c>
      <c r="AE103" s="16">
        <f t="shared" si="28"/>
        <v>0.99415008768049284</v>
      </c>
      <c r="AF103" s="16">
        <f t="shared" si="28"/>
        <v>0.99415008768049284</v>
      </c>
      <c r="AG103" s="16">
        <f t="shared" si="28"/>
        <v>0.99415008768049284</v>
      </c>
      <c r="AH103" s="16">
        <f t="shared" si="28"/>
        <v>0.99415008768049284</v>
      </c>
      <c r="AI103" s="16">
        <f t="shared" si="28"/>
        <v>0.99415008768049284</v>
      </c>
      <c r="AJ103" s="16">
        <f t="shared" si="28"/>
        <v>0.99415008768049284</v>
      </c>
      <c r="AK103" s="16">
        <f t="shared" si="28"/>
        <v>0.99415008768049284</v>
      </c>
      <c r="AL103" s="16">
        <f t="shared" si="28"/>
        <v>0.99415008768049284</v>
      </c>
      <c r="AO103" s="8">
        <f>ROW()</f>
        <v>103</v>
      </c>
    </row>
    <row r="104" spans="1:41" ht="13.9" customHeight="1" x14ac:dyDescent="0.2">
      <c r="B104" s="250" t="s">
        <v>6</v>
      </c>
      <c r="C104" s="250"/>
      <c r="D104" s="84"/>
      <c r="E104" s="84"/>
      <c r="F104" s="84"/>
      <c r="G104" s="84"/>
      <c r="H104" s="84">
        <f t="shared" si="27"/>
        <v>2014</v>
      </c>
      <c r="I104" s="84"/>
      <c r="J104" s="84"/>
      <c r="K104" s="129"/>
      <c r="L104" s="129"/>
      <c r="M104" s="129"/>
      <c r="N104" s="129"/>
      <c r="O104" s="129"/>
      <c r="P104" s="16">
        <f t="shared" ref="P104:P124" si="29">(1+$P$67)^(-P80)</f>
        <v>1</v>
      </c>
      <c r="Q104" s="16">
        <f t="shared" ref="Q104:Q124" si="30">(1+$Q$67)^(-Q80)</f>
        <v>1</v>
      </c>
      <c r="R104" s="17">
        <f t="shared" ref="R104:AL104" si="31">(1+$R$67)^(-R80)</f>
        <v>0.99936341294035136</v>
      </c>
      <c r="S104" s="17">
        <f t="shared" si="31"/>
        <v>0.99872723112378692</v>
      </c>
      <c r="T104" s="17">
        <f t="shared" si="31"/>
        <v>0.9980914542923347</v>
      </c>
      <c r="U104" s="17">
        <f t="shared" si="31"/>
        <v>0.99745608218818615</v>
      </c>
      <c r="V104" s="17">
        <f t="shared" si="31"/>
        <v>0.99682111455369737</v>
      </c>
      <c r="W104" s="17">
        <f t="shared" si="31"/>
        <v>0.99618655113138765</v>
      </c>
      <c r="X104" s="17">
        <f t="shared" si="31"/>
        <v>0.99555239166394127</v>
      </c>
      <c r="Y104" s="17">
        <f t="shared" si="31"/>
        <v>0.99491863589420559</v>
      </c>
      <c r="Z104" s="17">
        <f t="shared" si="31"/>
        <v>0.99428528356519208</v>
      </c>
      <c r="AA104" s="17">
        <f t="shared" si="31"/>
        <v>0.99365233442007528</v>
      </c>
      <c r="AB104" s="17">
        <f t="shared" si="31"/>
        <v>0.99365233442007528</v>
      </c>
      <c r="AC104" s="17">
        <f t="shared" si="31"/>
        <v>0.99365233442007528</v>
      </c>
      <c r="AD104" s="17">
        <f t="shared" si="31"/>
        <v>0.99365233442007528</v>
      </c>
      <c r="AE104" s="17">
        <f t="shared" si="31"/>
        <v>0.99365233442007528</v>
      </c>
      <c r="AF104" s="17">
        <f t="shared" si="31"/>
        <v>0.99365233442007528</v>
      </c>
      <c r="AG104" s="17">
        <f t="shared" si="31"/>
        <v>0.99365233442007528</v>
      </c>
      <c r="AH104" s="17">
        <f t="shared" si="31"/>
        <v>0.99365233442007528</v>
      </c>
      <c r="AI104" s="17">
        <f t="shared" si="31"/>
        <v>0.99365233442007528</v>
      </c>
      <c r="AJ104" s="17">
        <f t="shared" si="31"/>
        <v>0.99365233442007528</v>
      </c>
      <c r="AK104" s="17">
        <f t="shared" si="31"/>
        <v>0.99365233442007528</v>
      </c>
      <c r="AL104" s="17">
        <f t="shared" si="31"/>
        <v>0.99365233442007528</v>
      </c>
      <c r="AO104" s="8">
        <f>ROW()</f>
        <v>104</v>
      </c>
    </row>
    <row r="105" spans="1:41" ht="13.9" customHeight="1" x14ac:dyDescent="0.2">
      <c r="B105" s="250" t="s">
        <v>6</v>
      </c>
      <c r="C105" s="250"/>
      <c r="D105" s="84"/>
      <c r="E105" s="84"/>
      <c r="F105" s="84"/>
      <c r="G105" s="84"/>
      <c r="H105" s="84">
        <f t="shared" si="27"/>
        <v>2015</v>
      </c>
      <c r="I105" s="84"/>
      <c r="J105" s="84"/>
      <c r="K105" s="129"/>
      <c r="L105" s="129"/>
      <c r="M105" s="129"/>
      <c r="N105" s="129"/>
      <c r="O105" s="129"/>
      <c r="P105" s="16">
        <f t="shared" si="29"/>
        <v>1</v>
      </c>
      <c r="Q105" s="16">
        <f t="shared" si="30"/>
        <v>1</v>
      </c>
      <c r="R105" s="17">
        <f t="shared" ref="R105:R124" si="32">(1+$R$67)^(-R81)</f>
        <v>1</v>
      </c>
      <c r="S105" s="17">
        <f>(1+$S$67)^(-S81)</f>
        <v>0.99930988886418359</v>
      </c>
      <c r="T105" s="17">
        <f>(1+$S$67)^(-T81)</f>
        <v>0.99862025398174714</v>
      </c>
      <c r="U105" s="17">
        <f t="shared" ref="U105:AL105" si="33">(1+$S$67)^(-U81)</f>
        <v>0.99793109502402244</v>
      </c>
      <c r="V105" s="17">
        <f t="shared" si="33"/>
        <v>0.99724241166256899</v>
      </c>
      <c r="W105" s="17">
        <f t="shared" si="33"/>
        <v>0.99655420356917235</v>
      </c>
      <c r="X105" s="17">
        <f t="shared" si="33"/>
        <v>0.99586647041584464</v>
      </c>
      <c r="Y105" s="17">
        <f t="shared" si="33"/>
        <v>0.99517921187482439</v>
      </c>
      <c r="Z105" s="17">
        <f t="shared" si="33"/>
        <v>0.99449242761857681</v>
      </c>
      <c r="AA105" s="17">
        <f t="shared" si="33"/>
        <v>0.99380611731979207</v>
      </c>
      <c r="AB105" s="17">
        <f t="shared" si="33"/>
        <v>0.99312028065138724</v>
      </c>
      <c r="AC105" s="17">
        <f t="shared" si="33"/>
        <v>0.99312028065138724</v>
      </c>
      <c r="AD105" s="17">
        <f t="shared" si="33"/>
        <v>0.99312028065138724</v>
      </c>
      <c r="AE105" s="17">
        <f t="shared" si="33"/>
        <v>0.99312028065138724</v>
      </c>
      <c r="AF105" s="17">
        <f t="shared" si="33"/>
        <v>0.99312028065138724</v>
      </c>
      <c r="AG105" s="17">
        <f t="shared" si="33"/>
        <v>0.99312028065138724</v>
      </c>
      <c r="AH105" s="17">
        <f t="shared" si="33"/>
        <v>0.99312028065138724</v>
      </c>
      <c r="AI105" s="17">
        <f t="shared" si="33"/>
        <v>0.99312028065138724</v>
      </c>
      <c r="AJ105" s="17">
        <f t="shared" si="33"/>
        <v>0.99312028065138724</v>
      </c>
      <c r="AK105" s="17">
        <f t="shared" si="33"/>
        <v>0.99312028065138724</v>
      </c>
      <c r="AL105" s="17">
        <f t="shared" si="33"/>
        <v>0.99312028065138724</v>
      </c>
      <c r="AO105" s="8">
        <f>ROW()</f>
        <v>105</v>
      </c>
    </row>
    <row r="106" spans="1:41" ht="13.9" customHeight="1" x14ac:dyDescent="0.2">
      <c r="B106" s="250" t="s">
        <v>6</v>
      </c>
      <c r="C106" s="250"/>
      <c r="D106" s="84"/>
      <c r="E106" s="84"/>
      <c r="F106" s="84"/>
      <c r="G106" s="84"/>
      <c r="H106" s="84">
        <f t="shared" si="27"/>
        <v>2016</v>
      </c>
      <c r="I106" s="84"/>
      <c r="J106" s="84"/>
      <c r="K106" s="129"/>
      <c r="L106" s="129"/>
      <c r="M106" s="129"/>
      <c r="N106" s="129"/>
      <c r="O106" s="129"/>
      <c r="P106" s="16">
        <f t="shared" si="29"/>
        <v>1</v>
      </c>
      <c r="Q106" s="16">
        <f t="shared" si="30"/>
        <v>1</v>
      </c>
      <c r="R106" s="17">
        <f t="shared" si="32"/>
        <v>1</v>
      </c>
      <c r="S106" s="17">
        <f t="shared" ref="S106:S124" si="34">(1+$S$67)^(-S82)</f>
        <v>1</v>
      </c>
      <c r="T106" s="17">
        <f>(1+$T$67)^(-T82)</f>
        <v>0.99925278879243651</v>
      </c>
      <c r="U106" s="17">
        <f t="shared" ref="U106:AL106" si="35">(1+$T$67)^(-U82)</f>
        <v>0.99850613590946191</v>
      </c>
      <c r="V106" s="17">
        <f t="shared" si="35"/>
        <v>0.99776004093388948</v>
      </c>
      <c r="W106" s="17">
        <f t="shared" si="35"/>
        <v>0.99701450344884468</v>
      </c>
      <c r="X106" s="17">
        <f t="shared" si="35"/>
        <v>0.99626952303776439</v>
      </c>
      <c r="Y106" s="17">
        <f t="shared" si="35"/>
        <v>0.99552509928439681</v>
      </c>
      <c r="Z106" s="17">
        <f t="shared" si="35"/>
        <v>0.99478123177280087</v>
      </c>
      <c r="AA106" s="17">
        <f t="shared" si="35"/>
        <v>0.99403792008734637</v>
      </c>
      <c r="AB106" s="17">
        <f t="shared" si="35"/>
        <v>0.9932951638127141</v>
      </c>
      <c r="AC106" s="17">
        <f t="shared" si="35"/>
        <v>0.99255296253389458</v>
      </c>
      <c r="AD106" s="17">
        <f t="shared" si="35"/>
        <v>0.99255296253389458</v>
      </c>
      <c r="AE106" s="17">
        <f t="shared" si="35"/>
        <v>0.99255296253389458</v>
      </c>
      <c r="AF106" s="17">
        <f t="shared" si="35"/>
        <v>0.99255296253389458</v>
      </c>
      <c r="AG106" s="17">
        <f t="shared" si="35"/>
        <v>0.99255296253389458</v>
      </c>
      <c r="AH106" s="17">
        <f t="shared" si="35"/>
        <v>0.99255296253389458</v>
      </c>
      <c r="AI106" s="17">
        <f t="shared" si="35"/>
        <v>0.99255296253389458</v>
      </c>
      <c r="AJ106" s="17">
        <f t="shared" si="35"/>
        <v>0.99255296253389458</v>
      </c>
      <c r="AK106" s="17">
        <f t="shared" si="35"/>
        <v>0.99255296253389458</v>
      </c>
      <c r="AL106" s="17">
        <f t="shared" si="35"/>
        <v>0.99255296253389458</v>
      </c>
      <c r="AO106" s="8">
        <f>ROW()</f>
        <v>106</v>
      </c>
    </row>
    <row r="107" spans="1:41" ht="13.9" customHeight="1" x14ac:dyDescent="0.2">
      <c r="B107" s="250" t="s">
        <v>6</v>
      </c>
      <c r="C107" s="250"/>
      <c r="D107" s="84"/>
      <c r="E107" s="84"/>
      <c r="F107" s="84"/>
      <c r="G107" s="84"/>
      <c r="H107" s="84">
        <f t="shared" si="27"/>
        <v>2017</v>
      </c>
      <c r="I107" s="84"/>
      <c r="J107" s="84"/>
      <c r="K107" s="129"/>
      <c r="L107" s="129"/>
      <c r="M107" s="129"/>
      <c r="N107" s="129"/>
      <c r="O107" s="129"/>
      <c r="P107" s="16">
        <f t="shared" si="29"/>
        <v>1</v>
      </c>
      <c r="Q107" s="16">
        <f t="shared" si="30"/>
        <v>1</v>
      </c>
      <c r="R107" s="17">
        <f t="shared" si="32"/>
        <v>1</v>
      </c>
      <c r="S107" s="17">
        <f t="shared" si="34"/>
        <v>1</v>
      </c>
      <c r="T107" s="17">
        <f t="shared" ref="T107:T124" si="36">(1+$T$67)^(-T83)</f>
        <v>1</v>
      </c>
      <c r="U107" s="17">
        <f>(1+$U$67)^(-U83)</f>
        <v>0.99919203251839683</v>
      </c>
      <c r="V107" s="17">
        <f t="shared" ref="V107:AL107" si="37">(1+$U$67)^(-V83)</f>
        <v>0.9983847178482449</v>
      </c>
      <c r="W107" s="17">
        <f t="shared" si="37"/>
        <v>0.99757805546209388</v>
      </c>
      <c r="X107" s="17">
        <f t="shared" si="37"/>
        <v>0.99677204483291937</v>
      </c>
      <c r="Y107" s="17">
        <f t="shared" si="37"/>
        <v>0.99596668543412314</v>
      </c>
      <c r="Z107" s="17">
        <f t="shared" si="37"/>
        <v>0.99516197673953233</v>
      </c>
      <c r="AA107" s="17">
        <f t="shared" si="37"/>
        <v>0.99435791822339881</v>
      </c>
      <c r="AB107" s="17">
        <f t="shared" si="37"/>
        <v>0.99355450936039946</v>
      </c>
      <c r="AC107" s="17">
        <f t="shared" si="37"/>
        <v>0.99275174962563606</v>
      </c>
      <c r="AD107" s="17">
        <f t="shared" si="37"/>
        <v>0.9919496384946338</v>
      </c>
      <c r="AE107" s="17">
        <f t="shared" si="37"/>
        <v>0.9919496384946338</v>
      </c>
      <c r="AF107" s="17">
        <f t="shared" si="37"/>
        <v>0.9919496384946338</v>
      </c>
      <c r="AG107" s="17">
        <f t="shared" si="37"/>
        <v>0.9919496384946338</v>
      </c>
      <c r="AH107" s="17">
        <f t="shared" si="37"/>
        <v>0.9919496384946338</v>
      </c>
      <c r="AI107" s="17">
        <f t="shared" si="37"/>
        <v>0.9919496384946338</v>
      </c>
      <c r="AJ107" s="17">
        <f t="shared" si="37"/>
        <v>0.9919496384946338</v>
      </c>
      <c r="AK107" s="17">
        <f t="shared" si="37"/>
        <v>0.9919496384946338</v>
      </c>
      <c r="AL107" s="17">
        <f t="shared" si="37"/>
        <v>0.9919496384946338</v>
      </c>
      <c r="AO107" s="8">
        <f>ROW()</f>
        <v>107</v>
      </c>
    </row>
    <row r="108" spans="1:41" ht="13.9" customHeight="1" x14ac:dyDescent="0.2">
      <c r="B108" s="250" t="s">
        <v>6</v>
      </c>
      <c r="C108" s="250"/>
      <c r="D108" s="84"/>
      <c r="E108" s="84"/>
      <c r="F108" s="84"/>
      <c r="G108" s="84"/>
      <c r="H108" s="84">
        <f t="shared" si="27"/>
        <v>2018</v>
      </c>
      <c r="I108" s="84"/>
      <c r="J108" s="84"/>
      <c r="K108" s="129"/>
      <c r="L108" s="129"/>
      <c r="M108" s="129"/>
      <c r="N108" s="129"/>
      <c r="O108" s="129"/>
      <c r="P108" s="16">
        <f t="shared" si="29"/>
        <v>1</v>
      </c>
      <c r="Q108" s="16">
        <f t="shared" si="30"/>
        <v>1</v>
      </c>
      <c r="R108" s="17">
        <f t="shared" si="32"/>
        <v>1</v>
      </c>
      <c r="S108" s="17">
        <f t="shared" si="34"/>
        <v>1</v>
      </c>
      <c r="T108" s="17">
        <f t="shared" si="36"/>
        <v>1</v>
      </c>
      <c r="U108" s="17">
        <f t="shared" ref="U108:U124" si="38">(1+$U$67)^(-U84)</f>
        <v>1</v>
      </c>
      <c r="V108" s="17">
        <f>(1+$V$67)^(-V84)</f>
        <v>0.99912756619848642</v>
      </c>
      <c r="W108" s="17">
        <f t="shared" ref="W108:AL108" si="39">(1+$V$67)^(-W84)</f>
        <v>0.99825589353771094</v>
      </c>
      <c r="X108" s="17">
        <f t="shared" si="39"/>
        <v>0.99738498135362841</v>
      </c>
      <c r="Y108" s="17">
        <f t="shared" si="39"/>
        <v>0.99651482898277355</v>
      </c>
      <c r="Z108" s="17">
        <f t="shared" si="39"/>
        <v>0.99564543576225939</v>
      </c>
      <c r="AA108" s="17">
        <f t="shared" si="39"/>
        <v>0.99477680102977761</v>
      </c>
      <c r="AB108" s="17">
        <f t="shared" si="39"/>
        <v>0.99390892412359766</v>
      </c>
      <c r="AC108" s="17">
        <f t="shared" si="39"/>
        <v>0.99304180438256628</v>
      </c>
      <c r="AD108" s="17">
        <f t="shared" si="39"/>
        <v>0.9921754411461069</v>
      </c>
      <c r="AE108" s="17">
        <f t="shared" si="39"/>
        <v>0.99130983375421933</v>
      </c>
      <c r="AF108" s="17">
        <f t="shared" si="39"/>
        <v>0.99130983375421933</v>
      </c>
      <c r="AG108" s="17">
        <f t="shared" si="39"/>
        <v>0.99130983375421933</v>
      </c>
      <c r="AH108" s="17">
        <f t="shared" si="39"/>
        <v>0.99130983375421933</v>
      </c>
      <c r="AI108" s="17">
        <f t="shared" si="39"/>
        <v>0.99130983375421933</v>
      </c>
      <c r="AJ108" s="17">
        <f t="shared" si="39"/>
        <v>0.99130983375421933</v>
      </c>
      <c r="AK108" s="17">
        <f t="shared" si="39"/>
        <v>0.99130983375421933</v>
      </c>
      <c r="AL108" s="17">
        <f t="shared" si="39"/>
        <v>0.99130983375421933</v>
      </c>
      <c r="AO108" s="8">
        <f>ROW()</f>
        <v>108</v>
      </c>
    </row>
    <row r="109" spans="1:41" ht="13.9" customHeight="1" x14ac:dyDescent="0.2">
      <c r="B109" s="250" t="s">
        <v>6</v>
      </c>
      <c r="C109" s="250"/>
      <c r="D109" s="84"/>
      <c r="E109" s="84"/>
      <c r="F109" s="84"/>
      <c r="G109" s="84"/>
      <c r="H109" s="84">
        <f t="shared" si="27"/>
        <v>2019</v>
      </c>
      <c r="I109" s="84"/>
      <c r="J109" s="84"/>
      <c r="K109" s="129"/>
      <c r="L109" s="129"/>
      <c r="M109" s="129"/>
      <c r="N109" s="129"/>
      <c r="O109" s="129"/>
      <c r="P109" s="16">
        <f t="shared" si="29"/>
        <v>1</v>
      </c>
      <c r="Q109" s="16">
        <f t="shared" si="30"/>
        <v>1</v>
      </c>
      <c r="R109" s="17">
        <f t="shared" si="32"/>
        <v>1</v>
      </c>
      <c r="S109" s="17">
        <f t="shared" si="34"/>
        <v>1</v>
      </c>
      <c r="T109" s="17">
        <f t="shared" si="36"/>
        <v>1</v>
      </c>
      <c r="U109" s="17">
        <f t="shared" si="38"/>
        <v>1</v>
      </c>
      <c r="V109" s="17">
        <f t="shared" ref="V109:V124" si="40">(1+$V$67)^(-V85)</f>
        <v>1</v>
      </c>
      <c r="W109" s="17">
        <f t="shared" ref="W109:AL109" si="41">(1+$W$67)^(-W85)</f>
        <v>0.99905936702355658</v>
      </c>
      <c r="X109" s="17">
        <f t="shared" si="41"/>
        <v>0.99811961883750933</v>
      </c>
      <c r="Y109" s="17">
        <f t="shared" si="41"/>
        <v>0.99718075460959554</v>
      </c>
      <c r="Z109" s="17">
        <f t="shared" si="41"/>
        <v>0.9962427735083349</v>
      </c>
      <c r="AA109" s="17">
        <f t="shared" si="41"/>
        <v>0.99530567470302933</v>
      </c>
      <c r="AB109" s="17">
        <f t="shared" si="41"/>
        <v>0.99436945736376225</v>
      </c>
      <c r="AC109" s="17">
        <f t="shared" si="41"/>
        <v>0.99343412066139769</v>
      </c>
      <c r="AD109" s="17">
        <f t="shared" si="41"/>
        <v>0.99249966376757948</v>
      </c>
      <c r="AE109" s="17">
        <f t="shared" si="41"/>
        <v>0.99156608585473049</v>
      </c>
      <c r="AF109" s="17">
        <f t="shared" si="41"/>
        <v>0.99063338609605245</v>
      </c>
      <c r="AG109" s="17">
        <f t="shared" si="41"/>
        <v>0.99063338609605245</v>
      </c>
      <c r="AH109" s="17">
        <f t="shared" si="41"/>
        <v>0.99063338609605245</v>
      </c>
      <c r="AI109" s="17">
        <f t="shared" si="41"/>
        <v>0.99063338609605245</v>
      </c>
      <c r="AJ109" s="17">
        <f t="shared" si="41"/>
        <v>0.99063338609605245</v>
      </c>
      <c r="AK109" s="17">
        <f t="shared" si="41"/>
        <v>0.99063338609605245</v>
      </c>
      <c r="AL109" s="17">
        <f t="shared" si="41"/>
        <v>0.99063338609605245</v>
      </c>
      <c r="AO109" s="8">
        <f>ROW()</f>
        <v>109</v>
      </c>
    </row>
    <row r="110" spans="1:41" ht="13.9" customHeight="1" x14ac:dyDescent="0.2">
      <c r="B110" s="250" t="s">
        <v>6</v>
      </c>
      <c r="C110" s="250"/>
      <c r="D110" s="84"/>
      <c r="E110" s="84"/>
      <c r="F110" s="84"/>
      <c r="G110" s="84"/>
      <c r="H110" s="84">
        <f t="shared" si="27"/>
        <v>2020</v>
      </c>
      <c r="I110" s="84"/>
      <c r="J110" s="84"/>
      <c r="K110" s="84"/>
      <c r="L110" s="84"/>
      <c r="M110" s="84"/>
      <c r="P110" s="16">
        <f t="shared" si="29"/>
        <v>1</v>
      </c>
      <c r="Q110" s="16">
        <f t="shared" si="30"/>
        <v>1</v>
      </c>
      <c r="R110" s="17">
        <f t="shared" si="32"/>
        <v>1</v>
      </c>
      <c r="S110" s="17">
        <f t="shared" si="34"/>
        <v>1</v>
      </c>
      <c r="T110" s="17">
        <f t="shared" si="36"/>
        <v>1</v>
      </c>
      <c r="U110" s="17">
        <f t="shared" si="38"/>
        <v>1</v>
      </c>
      <c r="V110" s="17">
        <f t="shared" si="40"/>
        <v>1</v>
      </c>
      <c r="W110" s="17">
        <f t="shared" ref="W110:W124" si="42">(1+$W$67)^(-W86)</f>
        <v>1</v>
      </c>
      <c r="X110" s="17">
        <f>(1+$X$67)^(-X86)</f>
        <v>0.99898744791986838</v>
      </c>
      <c r="Y110" s="17">
        <f t="shared" ref="Y110:AL110" si="43">(1+$X$67)^(-Y86)</f>
        <v>0.99797592110145195</v>
      </c>
      <c r="Z110" s="17">
        <f t="shared" si="43"/>
        <v>0.99696541850661957</v>
      </c>
      <c r="AA110" s="17">
        <f t="shared" si="43"/>
        <v>0.99595593909829139</v>
      </c>
      <c r="AB110" s="17">
        <f t="shared" si="43"/>
        <v>0.99494748184043813</v>
      </c>
      <c r="AC110" s="17">
        <f t="shared" si="43"/>
        <v>0.99394004569807892</v>
      </c>
      <c r="AD110" s="17">
        <f t="shared" si="43"/>
        <v>0.99293362963728149</v>
      </c>
      <c r="AE110" s="17">
        <f t="shared" si="43"/>
        <v>0.99192823262515961</v>
      </c>
      <c r="AF110" s="17">
        <f t="shared" si="43"/>
        <v>0.99092385362987379</v>
      </c>
      <c r="AG110" s="17">
        <f t="shared" si="43"/>
        <v>0.98992049162062901</v>
      </c>
      <c r="AH110" s="17">
        <f t="shared" si="43"/>
        <v>0.98992049162062901</v>
      </c>
      <c r="AI110" s="17">
        <f t="shared" si="43"/>
        <v>0.98992049162062901</v>
      </c>
      <c r="AJ110" s="17">
        <f t="shared" si="43"/>
        <v>0.98992049162062901</v>
      </c>
      <c r="AK110" s="17">
        <f t="shared" si="43"/>
        <v>0.98992049162062901</v>
      </c>
      <c r="AL110" s="17">
        <f t="shared" si="43"/>
        <v>0.98992049162062901</v>
      </c>
      <c r="AO110" s="8">
        <f>ROW()</f>
        <v>110</v>
      </c>
    </row>
    <row r="111" spans="1:41" ht="13.9" customHeight="1" x14ac:dyDescent="0.2">
      <c r="B111" s="250" t="s">
        <v>6</v>
      </c>
      <c r="C111" s="250"/>
      <c r="D111" s="84"/>
      <c r="E111" s="84"/>
      <c r="F111" s="84"/>
      <c r="G111" s="84"/>
      <c r="H111" s="84">
        <f t="shared" si="27"/>
        <v>2021</v>
      </c>
      <c r="I111" s="84"/>
      <c r="J111" s="84"/>
      <c r="K111" s="84"/>
      <c r="L111" s="84"/>
      <c r="M111" s="84"/>
      <c r="P111" s="16">
        <f t="shared" si="29"/>
        <v>1</v>
      </c>
      <c r="Q111" s="16">
        <f t="shared" si="30"/>
        <v>1</v>
      </c>
      <c r="R111" s="17">
        <f t="shared" si="32"/>
        <v>1</v>
      </c>
      <c r="S111" s="17">
        <f t="shared" si="34"/>
        <v>1</v>
      </c>
      <c r="T111" s="17">
        <f t="shared" si="36"/>
        <v>1</v>
      </c>
      <c r="U111" s="17">
        <f t="shared" si="38"/>
        <v>1</v>
      </c>
      <c r="V111" s="17">
        <f t="shared" si="40"/>
        <v>1</v>
      </c>
      <c r="W111" s="17">
        <f t="shared" si="42"/>
        <v>1</v>
      </c>
      <c r="X111" s="17">
        <f>(1+$X$67)^(-X87)</f>
        <v>1</v>
      </c>
      <c r="Y111" s="17">
        <f>(1+$Y$67)^(-Y87)</f>
        <v>0.9989118621306009</v>
      </c>
      <c r="Z111" s="17">
        <f t="shared" ref="Z111:AL111" si="44">(1+$Y$67)^(-Z87)</f>
        <v>0.99782490830522486</v>
      </c>
      <c r="AA111" s="17">
        <f t="shared" si="44"/>
        <v>0.99673913723546825</v>
      </c>
      <c r="AB111" s="17">
        <f t="shared" si="44"/>
        <v>0.99565454763433026</v>
      </c>
      <c r="AC111" s="17">
        <f t="shared" si="44"/>
        <v>0.9945711382162099</v>
      </c>
      <c r="AD111" s="17">
        <f t="shared" si="44"/>
        <v>0.99348890769690557</v>
      </c>
      <c r="AE111" s="17">
        <f t="shared" si="44"/>
        <v>0.99240785479361282</v>
      </c>
      <c r="AF111" s="17">
        <f t="shared" si="44"/>
        <v>0.99132797822492269</v>
      </c>
      <c r="AG111" s="17">
        <f t="shared" si="44"/>
        <v>0.99024927671082141</v>
      </c>
      <c r="AH111" s="17">
        <f t="shared" si="44"/>
        <v>0.98917174897268734</v>
      </c>
      <c r="AI111" s="17">
        <f t="shared" si="44"/>
        <v>0.98917174897268734</v>
      </c>
      <c r="AJ111" s="17">
        <f t="shared" si="44"/>
        <v>0.98917174897268734</v>
      </c>
      <c r="AK111" s="17">
        <f t="shared" si="44"/>
        <v>0.98917174897268734</v>
      </c>
      <c r="AL111" s="17">
        <f t="shared" si="44"/>
        <v>0.98917174897268734</v>
      </c>
      <c r="AO111" s="8">
        <f>ROW()</f>
        <v>111</v>
      </c>
    </row>
    <row r="112" spans="1:41" ht="13.9" customHeight="1" x14ac:dyDescent="0.2">
      <c r="B112" s="250" t="s">
        <v>6</v>
      </c>
      <c r="C112" s="250"/>
      <c r="D112" s="84"/>
      <c r="E112" s="84"/>
      <c r="F112" s="84"/>
      <c r="G112" s="84"/>
      <c r="H112" s="84">
        <f t="shared" si="27"/>
        <v>2022</v>
      </c>
      <c r="I112" s="84"/>
      <c r="J112" s="84"/>
      <c r="K112" s="84"/>
      <c r="L112" s="84"/>
      <c r="M112" s="84"/>
      <c r="P112" s="16">
        <f t="shared" si="29"/>
        <v>1</v>
      </c>
      <c r="Q112" s="16">
        <f t="shared" si="30"/>
        <v>1</v>
      </c>
      <c r="R112" s="17">
        <f t="shared" si="32"/>
        <v>1</v>
      </c>
      <c r="S112" s="17">
        <f t="shared" si="34"/>
        <v>1</v>
      </c>
      <c r="T112" s="17">
        <f t="shared" si="36"/>
        <v>1</v>
      </c>
      <c r="U112" s="17">
        <f t="shared" si="38"/>
        <v>1</v>
      </c>
      <c r="V112" s="17">
        <f t="shared" si="40"/>
        <v>1</v>
      </c>
      <c r="W112" s="17">
        <f t="shared" si="42"/>
        <v>1</v>
      </c>
      <c r="X112" s="17">
        <f>(1+$X$67)^(-X88)</f>
        <v>1</v>
      </c>
      <c r="Y112" s="17">
        <f>(1+$Y$67)^(-Y88)</f>
        <v>1</v>
      </c>
      <c r="Z112" s="17">
        <f>(1+$Z$67)^(-Z88)</f>
        <v>0.99883270750504438</v>
      </c>
      <c r="AA112" s="17">
        <f t="shared" ref="AA112:AL112" si="45">(1+$Z$67)^(-AA88)</f>
        <v>0.99766677758185784</v>
      </c>
      <c r="AB112" s="17">
        <f t="shared" si="45"/>
        <v>0.99650220863992023</v>
      </c>
      <c r="AC112" s="17">
        <f t="shared" si="45"/>
        <v>0.99533899909056811</v>
      </c>
      <c r="AD112" s="17">
        <f t="shared" si="45"/>
        <v>0.99417714734699325</v>
      </c>
      <c r="AE112" s="17">
        <f t="shared" si="45"/>
        <v>0.99301665182423893</v>
      </c>
      <c r="AF112" s="17">
        <f t="shared" si="45"/>
        <v>0.99185751093919849</v>
      </c>
      <c r="AG112" s="17">
        <f t="shared" si="45"/>
        <v>0.99069972311061405</v>
      </c>
      <c r="AH112" s="17">
        <f t="shared" si="45"/>
        <v>0.98954328675907244</v>
      </c>
      <c r="AI112" s="17">
        <f t="shared" si="45"/>
        <v>0.98838820030700514</v>
      </c>
      <c r="AJ112" s="17">
        <f t="shared" si="45"/>
        <v>0.98838820030700514</v>
      </c>
      <c r="AK112" s="17">
        <f t="shared" si="45"/>
        <v>0.98838820030700514</v>
      </c>
      <c r="AL112" s="17">
        <f t="shared" si="45"/>
        <v>0.98838820030700514</v>
      </c>
      <c r="AO112" s="8">
        <f>ROW()</f>
        <v>112</v>
      </c>
    </row>
    <row r="113" spans="2:41" ht="13.9" customHeight="1" x14ac:dyDescent="0.2">
      <c r="B113" s="250" t="s">
        <v>6</v>
      </c>
      <c r="C113" s="250"/>
      <c r="D113" s="84"/>
      <c r="E113" s="84"/>
      <c r="F113" s="84"/>
      <c r="G113" s="84"/>
      <c r="H113" s="84">
        <f t="shared" si="27"/>
        <v>2023</v>
      </c>
      <c r="I113" s="84"/>
      <c r="J113" s="84"/>
      <c r="K113" s="84"/>
      <c r="L113" s="84"/>
      <c r="M113" s="84"/>
      <c r="P113" s="16">
        <f t="shared" si="29"/>
        <v>1</v>
      </c>
      <c r="Q113" s="16">
        <f t="shared" si="30"/>
        <v>1</v>
      </c>
      <c r="R113" s="17">
        <f t="shared" si="32"/>
        <v>1</v>
      </c>
      <c r="S113" s="17">
        <f t="shared" si="34"/>
        <v>1</v>
      </c>
      <c r="T113" s="17">
        <f t="shared" si="36"/>
        <v>1</v>
      </c>
      <c r="U113" s="17">
        <f t="shared" si="38"/>
        <v>1</v>
      </c>
      <c r="V113" s="17">
        <f t="shared" si="40"/>
        <v>1</v>
      </c>
      <c r="W113" s="17">
        <f t="shared" si="42"/>
        <v>1</v>
      </c>
      <c r="X113" s="17">
        <f>(1+$X$67)^(-X89)</f>
        <v>1</v>
      </c>
      <c r="Y113" s="17">
        <f>(1+$Y$67)^(-Y89)</f>
        <v>1</v>
      </c>
      <c r="Z113" s="17">
        <f>(1+$Z$67)^(-Z89)</f>
        <v>1</v>
      </c>
      <c r="AA113" s="17">
        <f>(1+$AA$67)^(-AA89)</f>
        <v>0.99875013030421411</v>
      </c>
      <c r="AB113" s="17">
        <f t="shared" ref="AB113:AL113" si="46">(1+$AA$67)^(-AB89)</f>
        <v>0.99750182278268462</v>
      </c>
      <c r="AC113" s="17">
        <f t="shared" si="46"/>
        <v>0.99625507548289727</v>
      </c>
      <c r="AD113" s="17">
        <f t="shared" si="46"/>
        <v>0.99500988645477839</v>
      </c>
      <c r="AE113" s="17">
        <f t="shared" si="46"/>
        <v>0.99376625375069116</v>
      </c>
      <c r="AF113" s="17">
        <f t="shared" si="46"/>
        <v>0.99252417542543347</v>
      </c>
      <c r="AG113" s="17">
        <f t="shared" si="46"/>
        <v>0.99128364953623438</v>
      </c>
      <c r="AH113" s="17">
        <f t="shared" si="46"/>
        <v>0.99004467414275088</v>
      </c>
      <c r="AI113" s="17">
        <f t="shared" si="46"/>
        <v>0.98880724730706571</v>
      </c>
      <c r="AJ113" s="17">
        <f t="shared" si="46"/>
        <v>0.98757136709368298</v>
      </c>
      <c r="AK113" s="17">
        <f t="shared" si="46"/>
        <v>0.98757136709368298</v>
      </c>
      <c r="AL113" s="17">
        <f t="shared" si="46"/>
        <v>0.98757136709368298</v>
      </c>
      <c r="AO113" s="8">
        <f>ROW()</f>
        <v>113</v>
      </c>
    </row>
    <row r="114" spans="2:41" ht="13.9" customHeight="1" x14ac:dyDescent="0.2">
      <c r="B114" s="250" t="s">
        <v>6</v>
      </c>
      <c r="C114" s="250"/>
      <c r="D114" s="84"/>
      <c r="E114" s="84"/>
      <c r="F114" s="84"/>
      <c r="G114" s="84"/>
      <c r="H114" s="84">
        <f t="shared" si="27"/>
        <v>2024</v>
      </c>
      <c r="I114" s="84"/>
      <c r="J114" s="84"/>
      <c r="K114" s="84"/>
      <c r="L114" s="84"/>
      <c r="M114" s="84"/>
      <c r="P114" s="16">
        <f t="shared" si="29"/>
        <v>1</v>
      </c>
      <c r="Q114" s="16">
        <f t="shared" si="30"/>
        <v>1</v>
      </c>
      <c r="R114" s="17">
        <f t="shared" si="32"/>
        <v>1</v>
      </c>
      <c r="S114" s="17">
        <f t="shared" si="34"/>
        <v>1</v>
      </c>
      <c r="T114" s="17">
        <f t="shared" si="36"/>
        <v>1</v>
      </c>
      <c r="U114" s="17">
        <f t="shared" si="38"/>
        <v>1</v>
      </c>
      <c r="V114" s="17">
        <f t="shared" si="40"/>
        <v>1</v>
      </c>
      <c r="W114" s="17">
        <f t="shared" si="42"/>
        <v>1</v>
      </c>
      <c r="X114" s="17">
        <f>(1+$X$67)^(-X90)</f>
        <v>1</v>
      </c>
      <c r="Y114" s="17">
        <f>(1+$Y$67)^(-Y90)</f>
        <v>1</v>
      </c>
      <c r="Z114" s="17">
        <f>(1+$Z$67)^(-Z90)</f>
        <v>1</v>
      </c>
      <c r="AA114" s="17">
        <f>(1+$AA$67)^(-AA90)</f>
        <v>1</v>
      </c>
      <c r="AB114" s="17">
        <f>(1+$AB$67)^(-AB90)</f>
        <v>0.99866432832104934</v>
      </c>
      <c r="AC114" s="17">
        <f t="shared" ref="AC114:AL114" si="47">(1+$AB$67)^(-AC90)</f>
        <v>0.99733044066093257</v>
      </c>
      <c r="AD114" s="17">
        <f t="shared" si="47"/>
        <v>0.99599833463678655</v>
      </c>
      <c r="AE114" s="17">
        <f t="shared" si="47"/>
        <v>0.99466800786892995</v>
      </c>
      <c r="AF114" s="17">
        <f t="shared" si="47"/>
        <v>0.99333945798086132</v>
      </c>
      <c r="AG114" s="17">
        <f t="shared" si="47"/>
        <v>0.99201268259925202</v>
      </c>
      <c r="AH114" s="17">
        <f t="shared" si="47"/>
        <v>0.99068767935394419</v>
      </c>
      <c r="AI114" s="17">
        <f t="shared" si="47"/>
        <v>0.98936444587794592</v>
      </c>
      <c r="AJ114" s="17">
        <f t="shared" si="47"/>
        <v>0.98804297980742595</v>
      </c>
      <c r="AK114" s="17">
        <f t="shared" si="47"/>
        <v>0.98672327878171129</v>
      </c>
      <c r="AL114" s="17">
        <f t="shared" si="47"/>
        <v>0.98672327878171129</v>
      </c>
      <c r="AO114" s="8">
        <f>ROW()</f>
        <v>114</v>
      </c>
    </row>
    <row r="115" spans="2:41" ht="13.9" customHeight="1" x14ac:dyDescent="0.2">
      <c r="B115" s="250" t="s">
        <v>6</v>
      </c>
      <c r="C115" s="84"/>
      <c r="D115" s="84"/>
      <c r="E115" s="84"/>
      <c r="F115" s="84"/>
      <c r="G115" s="84"/>
      <c r="H115" s="84">
        <f t="shared" si="27"/>
        <v>2025</v>
      </c>
      <c r="I115" s="84"/>
      <c r="J115" s="84"/>
      <c r="K115" s="84"/>
      <c r="L115" s="84"/>
      <c r="M115" s="84"/>
      <c r="P115" s="16">
        <f t="shared" si="29"/>
        <v>1</v>
      </c>
      <c r="Q115" s="16">
        <f t="shared" si="30"/>
        <v>1</v>
      </c>
      <c r="R115" s="17">
        <f t="shared" si="32"/>
        <v>1</v>
      </c>
      <c r="S115" s="17">
        <f t="shared" si="34"/>
        <v>1</v>
      </c>
      <c r="T115" s="17">
        <f t="shared" si="36"/>
        <v>1</v>
      </c>
      <c r="U115" s="17">
        <f t="shared" si="38"/>
        <v>1</v>
      </c>
      <c r="V115" s="17">
        <f t="shared" si="40"/>
        <v>1</v>
      </c>
      <c r="W115" s="17">
        <f t="shared" si="42"/>
        <v>1</v>
      </c>
      <c r="X115" s="17">
        <f t="shared" ref="X115:X124" si="48">(1+$X$67)^(-X91)</f>
        <v>1</v>
      </c>
      <c r="Y115" s="17">
        <f t="shared" ref="Y115:Y124" si="49">(1+$Y$67)^(-Y91)</f>
        <v>1</v>
      </c>
      <c r="Z115" s="17">
        <f t="shared" ref="Z115:Z124" si="50">(1+$Z$67)^(-Z91)</f>
        <v>1</v>
      </c>
      <c r="AA115" s="17">
        <f t="shared" ref="AA115:AA124" si="51">(1+$AA$67)^(-AA91)</f>
        <v>1</v>
      </c>
      <c r="AB115" s="17">
        <f t="shared" ref="AB115:AL124" si="52">(1+$AB$67)^(-AB91)</f>
        <v>1</v>
      </c>
      <c r="AC115" s="17">
        <f t="shared" si="52"/>
        <v>0.99866432832104934</v>
      </c>
      <c r="AD115" s="17">
        <f t="shared" si="52"/>
        <v>0.99733044066093257</v>
      </c>
      <c r="AE115" s="17">
        <f t="shared" si="52"/>
        <v>0.99599833463678655</v>
      </c>
      <c r="AF115" s="17">
        <f t="shared" si="52"/>
        <v>0.99466800786892995</v>
      </c>
      <c r="AG115" s="17">
        <f t="shared" si="52"/>
        <v>0.99333945798086132</v>
      </c>
      <c r="AH115" s="17">
        <f t="shared" si="52"/>
        <v>0.99201268259925202</v>
      </c>
      <c r="AI115" s="17">
        <f t="shared" si="52"/>
        <v>0.99068767935394419</v>
      </c>
      <c r="AJ115" s="17">
        <f t="shared" si="52"/>
        <v>0.98936444587794592</v>
      </c>
      <c r="AK115" s="17">
        <f t="shared" si="52"/>
        <v>0.98804297980742595</v>
      </c>
      <c r="AL115" s="17">
        <f t="shared" si="52"/>
        <v>0.98672327878171129</v>
      </c>
      <c r="AO115" s="8">
        <f>ROW()</f>
        <v>115</v>
      </c>
    </row>
    <row r="116" spans="2:41" ht="13.9" customHeight="1" x14ac:dyDescent="0.2">
      <c r="B116" s="250" t="s">
        <v>6</v>
      </c>
      <c r="C116" s="84"/>
      <c r="D116" s="84"/>
      <c r="E116" s="84"/>
      <c r="F116" s="84"/>
      <c r="G116" s="84"/>
      <c r="H116" s="84">
        <f t="shared" si="27"/>
        <v>2026</v>
      </c>
      <c r="I116" s="84"/>
      <c r="J116" s="84"/>
      <c r="K116" s="84"/>
      <c r="L116" s="84"/>
      <c r="M116" s="84"/>
      <c r="P116" s="16">
        <f t="shared" si="29"/>
        <v>1</v>
      </c>
      <c r="Q116" s="16">
        <f t="shared" si="30"/>
        <v>1</v>
      </c>
      <c r="R116" s="17">
        <f t="shared" si="32"/>
        <v>1</v>
      </c>
      <c r="S116" s="17">
        <f t="shared" si="34"/>
        <v>1</v>
      </c>
      <c r="T116" s="17">
        <f t="shared" si="36"/>
        <v>1</v>
      </c>
      <c r="U116" s="17">
        <f t="shared" si="38"/>
        <v>1</v>
      </c>
      <c r="V116" s="17">
        <f t="shared" si="40"/>
        <v>1</v>
      </c>
      <c r="W116" s="17">
        <f t="shared" si="42"/>
        <v>1</v>
      </c>
      <c r="X116" s="17">
        <f t="shared" si="48"/>
        <v>1</v>
      </c>
      <c r="Y116" s="17">
        <f t="shared" si="49"/>
        <v>1</v>
      </c>
      <c r="Z116" s="17">
        <f t="shared" si="50"/>
        <v>1</v>
      </c>
      <c r="AA116" s="17">
        <f t="shared" si="51"/>
        <v>1</v>
      </c>
      <c r="AB116" s="17">
        <f t="shared" si="52"/>
        <v>1</v>
      </c>
      <c r="AC116" s="17">
        <f t="shared" si="52"/>
        <v>1</v>
      </c>
      <c r="AD116" s="17">
        <f t="shared" si="52"/>
        <v>0.99866432832104934</v>
      </c>
      <c r="AE116" s="17">
        <f t="shared" si="52"/>
        <v>0.99733044066093257</v>
      </c>
      <c r="AF116" s="17">
        <f t="shared" si="52"/>
        <v>0.99599833463678655</v>
      </c>
      <c r="AG116" s="17">
        <f t="shared" si="52"/>
        <v>0.99466800786892995</v>
      </c>
      <c r="AH116" s="17">
        <f t="shared" si="52"/>
        <v>0.99333945798086132</v>
      </c>
      <c r="AI116" s="17">
        <f t="shared" si="52"/>
        <v>0.99201268259925202</v>
      </c>
      <c r="AJ116" s="17">
        <f t="shared" si="52"/>
        <v>0.99068767935394419</v>
      </c>
      <c r="AK116" s="17">
        <f t="shared" si="52"/>
        <v>0.98936444587794592</v>
      </c>
      <c r="AL116" s="17">
        <f t="shared" si="52"/>
        <v>0.98804297980742595</v>
      </c>
      <c r="AO116" s="8">
        <f>ROW()</f>
        <v>116</v>
      </c>
    </row>
    <row r="117" spans="2:41" ht="13.9" customHeight="1" x14ac:dyDescent="0.2">
      <c r="B117" s="250" t="s">
        <v>6</v>
      </c>
      <c r="C117" s="84"/>
      <c r="D117" s="84"/>
      <c r="E117" s="84"/>
      <c r="F117" s="84"/>
      <c r="G117" s="84"/>
      <c r="H117" s="84">
        <f t="shared" si="27"/>
        <v>2027</v>
      </c>
      <c r="I117" s="84"/>
      <c r="J117" s="84"/>
      <c r="K117" s="84"/>
      <c r="L117" s="84"/>
      <c r="M117" s="84"/>
      <c r="P117" s="16">
        <f t="shared" si="29"/>
        <v>1</v>
      </c>
      <c r="Q117" s="16">
        <f t="shared" si="30"/>
        <v>1</v>
      </c>
      <c r="R117" s="17">
        <f t="shared" si="32"/>
        <v>1</v>
      </c>
      <c r="S117" s="17">
        <f t="shared" si="34"/>
        <v>1</v>
      </c>
      <c r="T117" s="17">
        <f t="shared" si="36"/>
        <v>1</v>
      </c>
      <c r="U117" s="17">
        <f t="shared" si="38"/>
        <v>1</v>
      </c>
      <c r="V117" s="17">
        <f t="shared" si="40"/>
        <v>1</v>
      </c>
      <c r="W117" s="17">
        <f t="shared" si="42"/>
        <v>1</v>
      </c>
      <c r="X117" s="17">
        <f t="shared" si="48"/>
        <v>1</v>
      </c>
      <c r="Y117" s="17">
        <f t="shared" si="49"/>
        <v>1</v>
      </c>
      <c r="Z117" s="17">
        <f t="shared" si="50"/>
        <v>1</v>
      </c>
      <c r="AA117" s="17">
        <f t="shared" si="51"/>
        <v>1</v>
      </c>
      <c r="AB117" s="17">
        <f t="shared" si="52"/>
        <v>1</v>
      </c>
      <c r="AC117" s="17">
        <f t="shared" si="52"/>
        <v>1</v>
      </c>
      <c r="AD117" s="17">
        <f t="shared" si="52"/>
        <v>1</v>
      </c>
      <c r="AE117" s="17">
        <f t="shared" si="52"/>
        <v>0.99866432832104934</v>
      </c>
      <c r="AF117" s="17">
        <f t="shared" si="52"/>
        <v>0.99733044066093257</v>
      </c>
      <c r="AG117" s="17">
        <f t="shared" si="52"/>
        <v>0.99599833463678655</v>
      </c>
      <c r="AH117" s="17">
        <f t="shared" si="52"/>
        <v>0.99466800786892995</v>
      </c>
      <c r="AI117" s="17">
        <f t="shared" si="52"/>
        <v>0.99333945798086132</v>
      </c>
      <c r="AJ117" s="17">
        <f t="shared" si="52"/>
        <v>0.99201268259925202</v>
      </c>
      <c r="AK117" s="17">
        <f t="shared" si="52"/>
        <v>0.99068767935394419</v>
      </c>
      <c r="AL117" s="17">
        <f t="shared" si="52"/>
        <v>0.98936444587794592</v>
      </c>
      <c r="AO117" s="8">
        <f>ROW()</f>
        <v>117</v>
      </c>
    </row>
    <row r="118" spans="2:41" ht="13.9" customHeight="1" x14ac:dyDescent="0.2">
      <c r="B118" s="250" t="s">
        <v>6</v>
      </c>
      <c r="C118" s="84"/>
      <c r="D118" s="84"/>
      <c r="E118" s="84"/>
      <c r="F118" s="84"/>
      <c r="G118" s="84"/>
      <c r="H118" s="84">
        <f t="shared" si="27"/>
        <v>2028</v>
      </c>
      <c r="I118" s="84"/>
      <c r="J118" s="84"/>
      <c r="K118" s="84"/>
      <c r="L118" s="84"/>
      <c r="M118" s="84"/>
      <c r="P118" s="16">
        <f t="shared" si="29"/>
        <v>1</v>
      </c>
      <c r="Q118" s="16">
        <f t="shared" si="30"/>
        <v>1</v>
      </c>
      <c r="R118" s="17">
        <f t="shared" si="32"/>
        <v>1</v>
      </c>
      <c r="S118" s="17">
        <f t="shared" si="34"/>
        <v>1</v>
      </c>
      <c r="T118" s="17">
        <f t="shared" si="36"/>
        <v>1</v>
      </c>
      <c r="U118" s="17">
        <f t="shared" si="38"/>
        <v>1</v>
      </c>
      <c r="V118" s="17">
        <f t="shared" si="40"/>
        <v>1</v>
      </c>
      <c r="W118" s="17">
        <f t="shared" si="42"/>
        <v>1</v>
      </c>
      <c r="X118" s="17">
        <f t="shared" si="48"/>
        <v>1</v>
      </c>
      <c r="Y118" s="17">
        <f t="shared" si="49"/>
        <v>1</v>
      </c>
      <c r="Z118" s="17">
        <f t="shared" si="50"/>
        <v>1</v>
      </c>
      <c r="AA118" s="17">
        <f t="shared" si="51"/>
        <v>1</v>
      </c>
      <c r="AB118" s="17">
        <f t="shared" si="52"/>
        <v>1</v>
      </c>
      <c r="AC118" s="17">
        <f t="shared" si="52"/>
        <v>1</v>
      </c>
      <c r="AD118" s="17">
        <f t="shared" si="52"/>
        <v>1</v>
      </c>
      <c r="AE118" s="17">
        <f t="shared" si="52"/>
        <v>1</v>
      </c>
      <c r="AF118" s="17">
        <f t="shared" si="52"/>
        <v>0.99866432832104934</v>
      </c>
      <c r="AG118" s="17">
        <f t="shared" si="52"/>
        <v>0.99733044066093257</v>
      </c>
      <c r="AH118" s="17">
        <f t="shared" si="52"/>
        <v>0.99599833463678655</v>
      </c>
      <c r="AI118" s="17">
        <f t="shared" si="52"/>
        <v>0.99466800786892995</v>
      </c>
      <c r="AJ118" s="17">
        <f t="shared" si="52"/>
        <v>0.99333945798086132</v>
      </c>
      <c r="AK118" s="17">
        <f t="shared" si="52"/>
        <v>0.99201268259925202</v>
      </c>
      <c r="AL118" s="17">
        <f t="shared" si="52"/>
        <v>0.99068767935394419</v>
      </c>
      <c r="AO118" s="8">
        <f>ROW()</f>
        <v>118</v>
      </c>
    </row>
    <row r="119" spans="2:41" ht="13.9" customHeight="1" x14ac:dyDescent="0.2">
      <c r="B119" s="250" t="s">
        <v>6</v>
      </c>
      <c r="C119" s="84"/>
      <c r="D119" s="84"/>
      <c r="E119" s="84"/>
      <c r="F119" s="84"/>
      <c r="G119" s="84"/>
      <c r="H119" s="84">
        <f t="shared" si="27"/>
        <v>2029</v>
      </c>
      <c r="I119" s="84"/>
      <c r="J119" s="84"/>
      <c r="K119" s="84"/>
      <c r="L119" s="84"/>
      <c r="M119" s="84"/>
      <c r="P119" s="16">
        <f t="shared" si="29"/>
        <v>1</v>
      </c>
      <c r="Q119" s="16">
        <f t="shared" si="30"/>
        <v>1</v>
      </c>
      <c r="R119" s="17">
        <f t="shared" si="32"/>
        <v>1</v>
      </c>
      <c r="S119" s="17">
        <f t="shared" si="34"/>
        <v>1</v>
      </c>
      <c r="T119" s="17">
        <f t="shared" si="36"/>
        <v>1</v>
      </c>
      <c r="U119" s="17">
        <f t="shared" si="38"/>
        <v>1</v>
      </c>
      <c r="V119" s="17">
        <f t="shared" si="40"/>
        <v>1</v>
      </c>
      <c r="W119" s="17">
        <f t="shared" si="42"/>
        <v>1</v>
      </c>
      <c r="X119" s="17">
        <f t="shared" si="48"/>
        <v>1</v>
      </c>
      <c r="Y119" s="17">
        <f t="shared" si="49"/>
        <v>1</v>
      </c>
      <c r="Z119" s="17">
        <f t="shared" si="50"/>
        <v>1</v>
      </c>
      <c r="AA119" s="17">
        <f t="shared" si="51"/>
        <v>1</v>
      </c>
      <c r="AB119" s="17">
        <f t="shared" si="52"/>
        <v>1</v>
      </c>
      <c r="AC119" s="17">
        <f t="shared" si="52"/>
        <v>1</v>
      </c>
      <c r="AD119" s="17">
        <f t="shared" si="52"/>
        <v>1</v>
      </c>
      <c r="AE119" s="17">
        <f t="shared" si="52"/>
        <v>1</v>
      </c>
      <c r="AF119" s="17">
        <f t="shared" si="52"/>
        <v>1</v>
      </c>
      <c r="AG119" s="17">
        <f t="shared" si="52"/>
        <v>0.99866432832104934</v>
      </c>
      <c r="AH119" s="17">
        <f t="shared" si="52"/>
        <v>0.99733044066093257</v>
      </c>
      <c r="AI119" s="17">
        <f t="shared" si="52"/>
        <v>0.99599833463678655</v>
      </c>
      <c r="AJ119" s="17">
        <f t="shared" si="52"/>
        <v>0.99466800786892995</v>
      </c>
      <c r="AK119" s="17">
        <f t="shared" si="52"/>
        <v>0.99333945798086132</v>
      </c>
      <c r="AL119" s="17">
        <f t="shared" si="52"/>
        <v>0.99201268259925202</v>
      </c>
      <c r="AO119" s="8">
        <f>ROW()</f>
        <v>119</v>
      </c>
    </row>
    <row r="120" spans="2:41" ht="13.9" customHeight="1" x14ac:dyDescent="0.2">
      <c r="B120" s="250" t="s">
        <v>6</v>
      </c>
      <c r="C120" s="84"/>
      <c r="D120" s="84"/>
      <c r="E120" s="84"/>
      <c r="F120" s="84"/>
      <c r="G120" s="84"/>
      <c r="H120" s="84">
        <f t="shared" si="27"/>
        <v>2030</v>
      </c>
      <c r="I120" s="84"/>
      <c r="J120" s="84"/>
      <c r="K120" s="84"/>
      <c r="L120" s="84"/>
      <c r="M120" s="84"/>
      <c r="P120" s="16">
        <f t="shared" si="29"/>
        <v>1</v>
      </c>
      <c r="Q120" s="16">
        <f t="shared" si="30"/>
        <v>1</v>
      </c>
      <c r="R120" s="17">
        <f t="shared" si="32"/>
        <v>1</v>
      </c>
      <c r="S120" s="17">
        <f t="shared" si="34"/>
        <v>1</v>
      </c>
      <c r="T120" s="17">
        <f t="shared" si="36"/>
        <v>1</v>
      </c>
      <c r="U120" s="17">
        <f t="shared" si="38"/>
        <v>1</v>
      </c>
      <c r="V120" s="17">
        <f t="shared" si="40"/>
        <v>1</v>
      </c>
      <c r="W120" s="17">
        <f t="shared" si="42"/>
        <v>1</v>
      </c>
      <c r="X120" s="17">
        <f t="shared" si="48"/>
        <v>1</v>
      </c>
      <c r="Y120" s="17">
        <f t="shared" si="49"/>
        <v>1</v>
      </c>
      <c r="Z120" s="17">
        <f t="shared" si="50"/>
        <v>1</v>
      </c>
      <c r="AA120" s="17">
        <f t="shared" si="51"/>
        <v>1</v>
      </c>
      <c r="AB120" s="17">
        <f t="shared" si="52"/>
        <v>1</v>
      </c>
      <c r="AC120" s="17">
        <f t="shared" si="52"/>
        <v>1</v>
      </c>
      <c r="AD120" s="17">
        <f t="shared" si="52"/>
        <v>1</v>
      </c>
      <c r="AE120" s="17">
        <f t="shared" si="52"/>
        <v>1</v>
      </c>
      <c r="AF120" s="17">
        <f t="shared" si="52"/>
        <v>1</v>
      </c>
      <c r="AG120" s="17">
        <f t="shared" si="52"/>
        <v>1</v>
      </c>
      <c r="AH120" s="17">
        <f t="shared" si="52"/>
        <v>0.99866432832104934</v>
      </c>
      <c r="AI120" s="17">
        <f t="shared" si="52"/>
        <v>0.99733044066093257</v>
      </c>
      <c r="AJ120" s="17">
        <f t="shared" si="52"/>
        <v>0.99599833463678655</v>
      </c>
      <c r="AK120" s="17">
        <f t="shared" si="52"/>
        <v>0.99466800786892995</v>
      </c>
      <c r="AL120" s="17">
        <f t="shared" si="52"/>
        <v>0.99333945798086132</v>
      </c>
      <c r="AO120" s="8">
        <f>ROW()</f>
        <v>120</v>
      </c>
    </row>
    <row r="121" spans="2:41" ht="13.9" customHeight="1" x14ac:dyDescent="0.2">
      <c r="B121" s="250" t="s">
        <v>6</v>
      </c>
      <c r="C121" s="84"/>
      <c r="D121" s="84"/>
      <c r="E121" s="84"/>
      <c r="F121" s="84"/>
      <c r="G121" s="84"/>
      <c r="H121" s="84">
        <f t="shared" si="27"/>
        <v>2031</v>
      </c>
      <c r="I121" s="84"/>
      <c r="J121" s="84"/>
      <c r="K121" s="84"/>
      <c r="L121" s="84"/>
      <c r="M121" s="84"/>
      <c r="P121" s="16">
        <f t="shared" si="29"/>
        <v>1</v>
      </c>
      <c r="Q121" s="16">
        <f t="shared" si="30"/>
        <v>1</v>
      </c>
      <c r="R121" s="17">
        <f t="shared" si="32"/>
        <v>1</v>
      </c>
      <c r="S121" s="17">
        <f t="shared" si="34"/>
        <v>1</v>
      </c>
      <c r="T121" s="17">
        <f t="shared" si="36"/>
        <v>1</v>
      </c>
      <c r="U121" s="17">
        <f t="shared" si="38"/>
        <v>1</v>
      </c>
      <c r="V121" s="17">
        <f t="shared" si="40"/>
        <v>1</v>
      </c>
      <c r="W121" s="17">
        <f t="shared" si="42"/>
        <v>1</v>
      </c>
      <c r="X121" s="17">
        <f t="shared" si="48"/>
        <v>1</v>
      </c>
      <c r="Y121" s="17">
        <f t="shared" si="49"/>
        <v>1</v>
      </c>
      <c r="Z121" s="17">
        <f t="shared" si="50"/>
        <v>1</v>
      </c>
      <c r="AA121" s="17">
        <f t="shared" si="51"/>
        <v>1</v>
      </c>
      <c r="AB121" s="17">
        <f t="shared" si="52"/>
        <v>1</v>
      </c>
      <c r="AC121" s="17">
        <f t="shared" si="52"/>
        <v>1</v>
      </c>
      <c r="AD121" s="17">
        <f t="shared" si="52"/>
        <v>1</v>
      </c>
      <c r="AE121" s="17">
        <f t="shared" si="52"/>
        <v>1</v>
      </c>
      <c r="AF121" s="17">
        <f t="shared" si="52"/>
        <v>1</v>
      </c>
      <c r="AG121" s="17">
        <f t="shared" si="52"/>
        <v>1</v>
      </c>
      <c r="AH121" s="17">
        <f t="shared" si="52"/>
        <v>1</v>
      </c>
      <c r="AI121" s="17">
        <f t="shared" si="52"/>
        <v>0.99866432832104934</v>
      </c>
      <c r="AJ121" s="17">
        <f t="shared" si="52"/>
        <v>0.99733044066093257</v>
      </c>
      <c r="AK121" s="17">
        <f t="shared" si="52"/>
        <v>0.99599833463678655</v>
      </c>
      <c r="AL121" s="17">
        <f t="shared" si="52"/>
        <v>0.99466800786892995</v>
      </c>
      <c r="AO121" s="8">
        <f>ROW()</f>
        <v>121</v>
      </c>
    </row>
    <row r="122" spans="2:41" ht="13.9" customHeight="1" x14ac:dyDescent="0.2">
      <c r="B122" s="250" t="s">
        <v>6</v>
      </c>
      <c r="C122" s="84"/>
      <c r="D122" s="84"/>
      <c r="E122" s="84"/>
      <c r="F122" s="84"/>
      <c r="G122" s="84"/>
      <c r="H122" s="84">
        <f t="shared" si="27"/>
        <v>2032</v>
      </c>
      <c r="I122" s="84"/>
      <c r="J122" s="84"/>
      <c r="K122" s="84"/>
      <c r="L122" s="84"/>
      <c r="M122" s="84"/>
      <c r="P122" s="16">
        <f t="shared" si="29"/>
        <v>1</v>
      </c>
      <c r="Q122" s="16">
        <f t="shared" si="30"/>
        <v>1</v>
      </c>
      <c r="R122" s="17">
        <f t="shared" si="32"/>
        <v>1</v>
      </c>
      <c r="S122" s="17">
        <f t="shared" si="34"/>
        <v>1</v>
      </c>
      <c r="T122" s="17">
        <f t="shared" si="36"/>
        <v>1</v>
      </c>
      <c r="U122" s="17">
        <f t="shared" si="38"/>
        <v>1</v>
      </c>
      <c r="V122" s="17">
        <f t="shared" si="40"/>
        <v>1</v>
      </c>
      <c r="W122" s="17">
        <f t="shared" si="42"/>
        <v>1</v>
      </c>
      <c r="X122" s="17">
        <f t="shared" si="48"/>
        <v>1</v>
      </c>
      <c r="Y122" s="17">
        <f t="shared" si="49"/>
        <v>1</v>
      </c>
      <c r="Z122" s="17">
        <f t="shared" si="50"/>
        <v>1</v>
      </c>
      <c r="AA122" s="17">
        <f t="shared" si="51"/>
        <v>1</v>
      </c>
      <c r="AB122" s="17">
        <f t="shared" si="52"/>
        <v>1</v>
      </c>
      <c r="AC122" s="17">
        <f t="shared" si="52"/>
        <v>1</v>
      </c>
      <c r="AD122" s="17">
        <f t="shared" si="52"/>
        <v>1</v>
      </c>
      <c r="AE122" s="17">
        <f t="shared" si="52"/>
        <v>1</v>
      </c>
      <c r="AF122" s="17">
        <f t="shared" si="52"/>
        <v>1</v>
      </c>
      <c r="AG122" s="17">
        <f t="shared" si="52"/>
        <v>1</v>
      </c>
      <c r="AH122" s="17">
        <f t="shared" si="52"/>
        <v>1</v>
      </c>
      <c r="AI122" s="17">
        <f t="shared" si="52"/>
        <v>1</v>
      </c>
      <c r="AJ122" s="17">
        <f t="shared" si="52"/>
        <v>0.99866432832104934</v>
      </c>
      <c r="AK122" s="17">
        <f t="shared" si="52"/>
        <v>0.99733044066093257</v>
      </c>
      <c r="AL122" s="17">
        <f t="shared" si="52"/>
        <v>0.99599833463678655</v>
      </c>
      <c r="AO122" s="8">
        <f>ROW()</f>
        <v>122</v>
      </c>
    </row>
    <row r="123" spans="2:41" ht="13.9" customHeight="1" x14ac:dyDescent="0.2">
      <c r="B123" s="250" t="s">
        <v>6</v>
      </c>
      <c r="C123" s="84"/>
      <c r="D123" s="84"/>
      <c r="E123" s="84"/>
      <c r="F123" s="84"/>
      <c r="G123" s="84"/>
      <c r="H123" s="84">
        <f t="shared" si="27"/>
        <v>2033</v>
      </c>
      <c r="I123" s="84"/>
      <c r="J123" s="84"/>
      <c r="K123" s="84"/>
      <c r="L123" s="84"/>
      <c r="M123" s="84"/>
      <c r="P123" s="16">
        <f t="shared" si="29"/>
        <v>1</v>
      </c>
      <c r="Q123" s="16">
        <f t="shared" si="30"/>
        <v>1</v>
      </c>
      <c r="R123" s="17">
        <f t="shared" si="32"/>
        <v>1</v>
      </c>
      <c r="S123" s="17">
        <f t="shared" si="34"/>
        <v>1</v>
      </c>
      <c r="T123" s="17">
        <f t="shared" si="36"/>
        <v>1</v>
      </c>
      <c r="U123" s="17">
        <f t="shared" si="38"/>
        <v>1</v>
      </c>
      <c r="V123" s="17">
        <f t="shared" si="40"/>
        <v>1</v>
      </c>
      <c r="W123" s="17">
        <f t="shared" si="42"/>
        <v>1</v>
      </c>
      <c r="X123" s="17">
        <f t="shared" si="48"/>
        <v>1</v>
      </c>
      <c r="Y123" s="17">
        <f t="shared" si="49"/>
        <v>1</v>
      </c>
      <c r="Z123" s="17">
        <f t="shared" si="50"/>
        <v>1</v>
      </c>
      <c r="AA123" s="17">
        <f t="shared" si="51"/>
        <v>1</v>
      </c>
      <c r="AB123" s="17">
        <f t="shared" si="52"/>
        <v>1</v>
      </c>
      <c r="AC123" s="17">
        <f t="shared" si="52"/>
        <v>1</v>
      </c>
      <c r="AD123" s="17">
        <f t="shared" si="52"/>
        <v>1</v>
      </c>
      <c r="AE123" s="17">
        <f t="shared" si="52"/>
        <v>1</v>
      </c>
      <c r="AF123" s="17">
        <f t="shared" si="52"/>
        <v>1</v>
      </c>
      <c r="AG123" s="17">
        <f t="shared" si="52"/>
        <v>1</v>
      </c>
      <c r="AH123" s="17">
        <f t="shared" si="52"/>
        <v>1</v>
      </c>
      <c r="AI123" s="17">
        <f t="shared" si="52"/>
        <v>1</v>
      </c>
      <c r="AJ123" s="17">
        <f t="shared" si="52"/>
        <v>1</v>
      </c>
      <c r="AK123" s="17">
        <f t="shared" si="52"/>
        <v>0.99866432832104934</v>
      </c>
      <c r="AL123" s="17">
        <f t="shared" si="52"/>
        <v>0.99733044066093257</v>
      </c>
      <c r="AO123" s="8">
        <f>ROW()</f>
        <v>123</v>
      </c>
    </row>
    <row r="124" spans="2:41" ht="13.9" customHeight="1" x14ac:dyDescent="0.2">
      <c r="B124" s="250" t="s">
        <v>6</v>
      </c>
      <c r="C124" s="84"/>
      <c r="D124" s="84"/>
      <c r="E124" s="84"/>
      <c r="F124" s="84"/>
      <c r="G124" s="84"/>
      <c r="H124" s="84">
        <f t="shared" si="27"/>
        <v>2034</v>
      </c>
      <c r="I124" s="84"/>
      <c r="J124" s="84"/>
      <c r="K124" s="84"/>
      <c r="L124" s="84"/>
      <c r="M124" s="84"/>
      <c r="P124" s="16">
        <f t="shared" si="29"/>
        <v>1</v>
      </c>
      <c r="Q124" s="16">
        <f t="shared" si="30"/>
        <v>1</v>
      </c>
      <c r="R124" s="17">
        <f t="shared" si="32"/>
        <v>1</v>
      </c>
      <c r="S124" s="17">
        <f t="shared" si="34"/>
        <v>1</v>
      </c>
      <c r="T124" s="17">
        <f t="shared" si="36"/>
        <v>1</v>
      </c>
      <c r="U124" s="17">
        <f t="shared" si="38"/>
        <v>1</v>
      </c>
      <c r="V124" s="17">
        <f t="shared" si="40"/>
        <v>1</v>
      </c>
      <c r="W124" s="17">
        <f t="shared" si="42"/>
        <v>1</v>
      </c>
      <c r="X124" s="17">
        <f t="shared" si="48"/>
        <v>1</v>
      </c>
      <c r="Y124" s="17">
        <f t="shared" si="49"/>
        <v>1</v>
      </c>
      <c r="Z124" s="17">
        <f t="shared" si="50"/>
        <v>1</v>
      </c>
      <c r="AA124" s="17">
        <f t="shared" si="51"/>
        <v>1</v>
      </c>
      <c r="AB124" s="17">
        <f t="shared" si="52"/>
        <v>1</v>
      </c>
      <c r="AC124" s="17">
        <f t="shared" si="52"/>
        <v>1</v>
      </c>
      <c r="AD124" s="17">
        <f t="shared" si="52"/>
        <v>1</v>
      </c>
      <c r="AE124" s="17">
        <f t="shared" si="52"/>
        <v>1</v>
      </c>
      <c r="AF124" s="17">
        <f t="shared" si="52"/>
        <v>1</v>
      </c>
      <c r="AG124" s="17">
        <f t="shared" si="52"/>
        <v>1</v>
      </c>
      <c r="AH124" s="17">
        <f t="shared" si="52"/>
        <v>1</v>
      </c>
      <c r="AI124" s="17">
        <f t="shared" si="52"/>
        <v>1</v>
      </c>
      <c r="AJ124" s="17">
        <f t="shared" si="52"/>
        <v>1</v>
      </c>
      <c r="AK124" s="17">
        <f t="shared" si="52"/>
        <v>1</v>
      </c>
      <c r="AL124" s="17">
        <f t="shared" si="52"/>
        <v>0.99866432832104934</v>
      </c>
      <c r="AO124" s="8">
        <f>ROW()</f>
        <v>124</v>
      </c>
    </row>
    <row r="125" spans="2:41" ht="13.9" customHeight="1" x14ac:dyDescent="0.2">
      <c r="B125" s="84"/>
      <c r="C125" s="84"/>
      <c r="D125" s="84"/>
      <c r="E125" s="84"/>
      <c r="F125" s="84"/>
      <c r="G125" s="84"/>
      <c r="H125" s="84"/>
      <c r="I125" s="84"/>
      <c r="J125" s="84"/>
      <c r="K125" s="84"/>
      <c r="L125" s="84"/>
      <c r="M125" s="84"/>
      <c r="AO125" s="8">
        <f>ROW()</f>
        <v>125</v>
      </c>
    </row>
    <row r="126" spans="2:41" ht="13.9" customHeight="1" x14ac:dyDescent="0.2">
      <c r="B126" s="84" t="s">
        <v>592</v>
      </c>
      <c r="C126" s="84"/>
      <c r="D126" s="84"/>
      <c r="E126" s="84"/>
      <c r="F126" s="84"/>
      <c r="G126" s="84"/>
      <c r="H126" s="84"/>
      <c r="I126" s="84"/>
      <c r="J126" s="84"/>
      <c r="K126" s="84"/>
      <c r="L126" s="84"/>
      <c r="M126" s="84"/>
      <c r="P126" s="39">
        <f t="shared" ref="P126:AL126" si="53">PRODUCT(P102:P124)-1</f>
        <v>-6.3011199001619111E-3</v>
      </c>
      <c r="Q126" s="39">
        <f t="shared" si="53"/>
        <v>-1.3141704225321904E-2</v>
      </c>
      <c r="R126" s="39">
        <f t="shared" si="53"/>
        <v>-2.0559094805268185E-2</v>
      </c>
      <c r="S126" s="39">
        <f t="shared" si="53"/>
        <v>-2.8591577773393828E-2</v>
      </c>
      <c r="T126" s="39">
        <f t="shared" si="53"/>
        <v>-3.7278080147678971E-2</v>
      </c>
      <c r="U126" s="39">
        <f t="shared" si="53"/>
        <v>-4.6657798666569605E-2</v>
      </c>
      <c r="V126" s="39">
        <f t="shared" si="53"/>
        <v>-5.6769755883966377E-2</v>
      </c>
      <c r="W126" s="39">
        <f t="shared" si="53"/>
        <v>-6.7652279813487648E-2</v>
      </c>
      <c r="X126" s="39">
        <f t="shared" si="53"/>
        <v>-7.9342405200042876E-2</v>
      </c>
      <c r="Y126" s="39">
        <f t="shared" si="53"/>
        <v>-9.1875196829717454E-2</v>
      </c>
      <c r="Z126" s="39">
        <f t="shared" si="53"/>
        <v>-9.9609529876287795E-2</v>
      </c>
      <c r="AA126" s="39">
        <f t="shared" si="53"/>
        <v>-0.10787051031670813</v>
      </c>
      <c r="AB126" s="39">
        <f t="shared" si="53"/>
        <v>-0.11667404269570414</v>
      </c>
      <c r="AC126" s="39">
        <f t="shared" si="53"/>
        <v>-0.1259557049997827</v>
      </c>
      <c r="AD126" s="39">
        <f t="shared" si="53"/>
        <v>-0.13564915561591195</v>
      </c>
      <c r="AE126" s="39">
        <f t="shared" si="53"/>
        <v>-0.14568653030751688</v>
      </c>
      <c r="AF126" s="39">
        <f t="shared" si="53"/>
        <v>-0.15599884103415962</v>
      </c>
      <c r="AG126" s="39">
        <f t="shared" si="53"/>
        <v>-0.16651637181181134</v>
      </c>
      <c r="AH126" s="39">
        <f t="shared" si="53"/>
        <v>-0.17716906664569421</v>
      </c>
      <c r="AI126" s="39">
        <f t="shared" si="53"/>
        <v>-0.18788690445775891</v>
      </c>
      <c r="AJ126" s="39">
        <f t="shared" si="53"/>
        <v>-0.19860025588694086</v>
      </c>
      <c r="AK126" s="39">
        <f t="shared" si="53"/>
        <v>-0.20924021687393801</v>
      </c>
      <c r="AL126" s="39">
        <f t="shared" si="53"/>
        <v>-0.21973891406513713</v>
      </c>
      <c r="AO126" s="8">
        <f>ROW()</f>
        <v>126</v>
      </c>
    </row>
    <row r="127" spans="2:41" ht="13.9" customHeight="1" x14ac:dyDescent="0.2">
      <c r="B127" s="84"/>
      <c r="C127" s="84"/>
      <c r="D127" s="84"/>
      <c r="E127" s="84"/>
      <c r="F127" s="84"/>
      <c r="G127" s="84"/>
      <c r="H127" s="84"/>
      <c r="I127" s="84"/>
      <c r="J127" s="84"/>
      <c r="K127" s="84"/>
      <c r="L127" s="84"/>
      <c r="M127" s="84"/>
      <c r="AO127" s="8">
        <f>ROW()</f>
        <v>127</v>
      </c>
    </row>
    <row r="128" spans="2:41" ht="13.9" customHeight="1" x14ac:dyDescent="0.2">
      <c r="B128" s="135" t="s">
        <v>215</v>
      </c>
      <c r="C128" s="84"/>
      <c r="D128" s="84" t="s">
        <v>147</v>
      </c>
      <c r="E128" s="84"/>
      <c r="F128" s="84"/>
      <c r="G128" s="84"/>
      <c r="H128" s="84"/>
      <c r="I128" s="84"/>
      <c r="J128" s="84"/>
      <c r="K128" s="84"/>
      <c r="L128" s="84"/>
      <c r="M128" s="84"/>
      <c r="AO128" s="8">
        <f>ROW()</f>
        <v>128</v>
      </c>
    </row>
    <row r="129" spans="1:41" ht="13.9" customHeight="1" x14ac:dyDescent="0.2">
      <c r="B129" s="84"/>
      <c r="C129" s="84"/>
      <c r="D129" s="84"/>
      <c r="E129" s="84"/>
      <c r="F129" s="84"/>
      <c r="G129" s="84"/>
      <c r="H129" s="84"/>
      <c r="I129" s="84"/>
      <c r="J129" s="84"/>
      <c r="K129" s="84"/>
      <c r="L129" s="84"/>
      <c r="M129" s="84"/>
      <c r="AO129" s="8">
        <f>ROW()</f>
        <v>129</v>
      </c>
    </row>
    <row r="130" spans="1:41" ht="13.9" customHeight="1" x14ac:dyDescent="0.2">
      <c r="B130" s="482" t="s">
        <v>179</v>
      </c>
      <c r="C130" s="482"/>
      <c r="D130" s="482"/>
      <c r="E130" s="482"/>
      <c r="F130" s="482"/>
      <c r="G130" s="482"/>
      <c r="H130" s="482"/>
      <c r="I130" s="173"/>
      <c r="J130" s="173"/>
      <c r="K130" s="84"/>
      <c r="L130" s="84"/>
      <c r="M130" s="84"/>
      <c r="AO130" s="8">
        <f>ROW()</f>
        <v>130</v>
      </c>
    </row>
    <row r="131" spans="1:41" ht="13.9" customHeight="1" x14ac:dyDescent="0.2">
      <c r="B131" s="482"/>
      <c r="C131" s="482"/>
      <c r="D131" s="482"/>
      <c r="E131" s="482"/>
      <c r="F131" s="482"/>
      <c r="G131" s="482"/>
      <c r="H131" s="482"/>
      <c r="I131" s="173"/>
      <c r="J131" s="173"/>
      <c r="K131" s="84"/>
      <c r="L131" s="84"/>
      <c r="M131" s="84"/>
    </row>
    <row r="132" spans="1:41" ht="13.9" customHeight="1" x14ac:dyDescent="0.2">
      <c r="B132" s="84"/>
      <c r="C132" s="84"/>
      <c r="D132" s="84"/>
      <c r="E132" s="84"/>
      <c r="F132" s="84"/>
      <c r="G132" s="84"/>
      <c r="H132" s="84"/>
      <c r="I132" s="84"/>
      <c r="J132" s="84"/>
      <c r="K132" s="84"/>
      <c r="L132" s="84"/>
      <c r="M132" s="84"/>
    </row>
    <row r="133" spans="1:41" ht="13.9" customHeight="1" x14ac:dyDescent="0.2">
      <c r="B133" s="209" t="s">
        <v>218</v>
      </c>
      <c r="C133" s="84"/>
      <c r="D133" s="84"/>
      <c r="E133" s="84"/>
      <c r="F133" s="252"/>
      <c r="G133" s="252">
        <v>2020</v>
      </c>
      <c r="H133" s="84"/>
      <c r="I133" s="84"/>
      <c r="J133" s="84"/>
      <c r="K133" s="84"/>
      <c r="L133" s="84"/>
      <c r="M133" s="84"/>
    </row>
    <row r="134" spans="1:41" ht="13.9" customHeight="1" x14ac:dyDescent="0.2">
      <c r="B134" s="84"/>
      <c r="C134" s="84"/>
      <c r="D134" s="84"/>
      <c r="E134" s="84"/>
      <c r="F134" s="84"/>
      <c r="G134" s="84"/>
      <c r="H134" s="84"/>
      <c r="I134" s="84"/>
      <c r="J134" s="84"/>
      <c r="K134" s="84"/>
      <c r="L134" s="84"/>
      <c r="M134" s="84"/>
    </row>
    <row r="135" spans="1:41" ht="13.9" customHeight="1" x14ac:dyDescent="0.2">
      <c r="B135" s="84" t="s">
        <v>229</v>
      </c>
      <c r="C135" s="84"/>
      <c r="D135" s="84"/>
      <c r="E135" s="84"/>
      <c r="F135" s="84"/>
      <c r="G135" s="253">
        <f>AB158</f>
        <v>28671.322023045224</v>
      </c>
      <c r="H135" s="84"/>
      <c r="I135" s="84"/>
      <c r="J135" s="84"/>
      <c r="K135" s="84"/>
      <c r="L135" s="84"/>
      <c r="M135" s="84"/>
    </row>
    <row r="136" spans="1:41" ht="13.9" customHeight="1" x14ac:dyDescent="0.2">
      <c r="A136" s="14"/>
      <c r="B136" s="84" t="s">
        <v>230</v>
      </c>
      <c r="C136" s="84"/>
      <c r="D136" s="84"/>
      <c r="E136" s="84"/>
      <c r="F136" s="84"/>
      <c r="G136" s="253">
        <f>AB59</f>
        <v>25326.122973186153</v>
      </c>
      <c r="H136" s="84"/>
      <c r="I136" s="84"/>
      <c r="J136" s="84"/>
      <c r="K136" s="84"/>
      <c r="L136" s="84"/>
      <c r="M136" s="84"/>
    </row>
    <row r="137" spans="1:41" s="14" customFormat="1" ht="13.9" customHeight="1" x14ac:dyDescent="0.2">
      <c r="A137"/>
      <c r="B137" s="209" t="s">
        <v>10</v>
      </c>
      <c r="C137" s="209"/>
      <c r="D137" s="209"/>
      <c r="E137" s="209"/>
      <c r="F137" s="209"/>
      <c r="G137" s="254">
        <f>G136/G135</f>
        <v>0.88332595730429553</v>
      </c>
      <c r="H137" s="209"/>
      <c r="I137" s="209"/>
      <c r="J137" s="209"/>
      <c r="K137" s="209"/>
      <c r="L137" s="209"/>
      <c r="M137" s="209"/>
      <c r="N137" s="209"/>
      <c r="O137" s="209"/>
      <c r="AO137"/>
    </row>
    <row r="138" spans="1:41" ht="13.9" customHeight="1" x14ac:dyDescent="0.2">
      <c r="B138" s="84"/>
      <c r="C138" s="84"/>
      <c r="D138" s="84"/>
      <c r="E138" s="84"/>
      <c r="F138" s="84"/>
      <c r="G138" s="84"/>
      <c r="H138" s="84"/>
      <c r="I138" s="84"/>
      <c r="J138" s="84"/>
      <c r="K138" s="84"/>
      <c r="L138" s="84"/>
      <c r="M138" s="84"/>
    </row>
    <row r="139" spans="1:41" ht="13.9" customHeight="1" x14ac:dyDescent="0.2">
      <c r="B139" s="84" t="s">
        <v>2</v>
      </c>
      <c r="C139" s="84"/>
      <c r="D139" s="84"/>
      <c r="E139" s="84"/>
      <c r="F139" s="84"/>
      <c r="G139" s="155">
        <f>K55</f>
        <v>119.05404760752631</v>
      </c>
      <c r="H139" s="84"/>
      <c r="I139" s="84"/>
      <c r="J139" s="84"/>
      <c r="K139" s="84"/>
      <c r="L139" s="84"/>
      <c r="M139" s="84"/>
    </row>
    <row r="140" spans="1:41" ht="13.9" customHeight="1" x14ac:dyDescent="0.2">
      <c r="A140" s="14"/>
      <c r="B140" s="84" t="s">
        <v>3</v>
      </c>
      <c r="C140" s="84"/>
      <c r="D140" s="84"/>
      <c r="E140" s="84"/>
      <c r="F140" s="84"/>
      <c r="G140" s="155">
        <f>AB55</f>
        <v>115.35742044119021</v>
      </c>
      <c r="H140" s="84"/>
      <c r="I140" s="84"/>
      <c r="J140" s="84"/>
      <c r="K140" s="84"/>
      <c r="L140" s="84"/>
      <c r="M140" s="84"/>
    </row>
    <row r="141" spans="1:41" s="14" customFormat="1" ht="13.9" customHeight="1" x14ac:dyDescent="0.2">
      <c r="A141"/>
      <c r="B141" s="209" t="s">
        <v>10</v>
      </c>
      <c r="C141" s="209"/>
      <c r="D141" s="209"/>
      <c r="E141" s="209"/>
      <c r="F141" s="209"/>
      <c r="G141" s="254">
        <f>G140/G139</f>
        <v>0.96895000849931279</v>
      </c>
      <c r="H141" s="209"/>
      <c r="I141" s="209"/>
      <c r="J141" s="209"/>
      <c r="K141" s="209"/>
      <c r="L141" s="209"/>
      <c r="M141" s="209"/>
      <c r="N141" s="209"/>
      <c r="O141" s="209"/>
      <c r="AO141"/>
    </row>
    <row r="142" spans="1:41" ht="13.9" customHeight="1" x14ac:dyDescent="0.2">
      <c r="B142" s="84"/>
      <c r="C142" s="84"/>
      <c r="D142" s="84"/>
      <c r="E142" s="84"/>
      <c r="F142" s="84"/>
      <c r="G142" s="155"/>
      <c r="H142" s="84"/>
      <c r="I142" s="84"/>
      <c r="J142" s="84"/>
      <c r="K142" s="84"/>
      <c r="L142" s="84"/>
      <c r="M142" s="84"/>
    </row>
    <row r="143" spans="1:41" ht="13.9" customHeight="1" x14ac:dyDescent="0.2">
      <c r="B143" s="129" t="s">
        <v>300</v>
      </c>
      <c r="C143" s="84"/>
      <c r="D143" s="84"/>
      <c r="E143" s="84"/>
      <c r="F143" s="84"/>
      <c r="G143" s="155"/>
      <c r="H143" s="84"/>
      <c r="I143" s="84"/>
      <c r="J143" s="84"/>
      <c r="K143" s="84"/>
      <c r="L143" s="84"/>
      <c r="M143" s="84"/>
    </row>
    <row r="144" spans="1:41" ht="13.9" customHeight="1" x14ac:dyDescent="0.2">
      <c r="B144" s="84" t="s">
        <v>220</v>
      </c>
      <c r="C144" s="84"/>
      <c r="D144" s="84"/>
      <c r="E144" s="84"/>
      <c r="F144" s="84"/>
      <c r="G144" s="155">
        <f>AB46</f>
        <v>1548.308950145793</v>
      </c>
      <c r="H144" s="84"/>
      <c r="I144" s="84"/>
      <c r="J144" s="84"/>
      <c r="K144" s="84"/>
      <c r="L144" s="84"/>
      <c r="M144" s="84"/>
    </row>
    <row r="145" spans="1:38" ht="13.9" customHeight="1" x14ac:dyDescent="0.2">
      <c r="A145" s="14"/>
      <c r="B145" s="84" t="s">
        <v>222</v>
      </c>
      <c r="C145" s="84"/>
      <c r="D145" s="84"/>
      <c r="E145" s="84"/>
      <c r="F145" s="84"/>
      <c r="G145" s="155">
        <f>AB60</f>
        <v>1324.9688054254518</v>
      </c>
      <c r="H145" s="84"/>
      <c r="I145" s="84"/>
      <c r="J145" s="84"/>
      <c r="K145" s="84"/>
      <c r="L145" s="84"/>
      <c r="M145" s="84"/>
    </row>
    <row r="146" spans="1:38" ht="13.9" customHeight="1" x14ac:dyDescent="0.2">
      <c r="A146" s="14"/>
      <c r="B146" s="209" t="s">
        <v>10</v>
      </c>
      <c r="C146" s="209"/>
      <c r="D146" s="209"/>
      <c r="E146" s="209"/>
      <c r="F146" s="209"/>
      <c r="G146" s="255">
        <f>G145/G144</f>
        <v>0.8557522097257716</v>
      </c>
      <c r="H146" s="84"/>
      <c r="I146" s="84"/>
      <c r="J146" s="84"/>
      <c r="K146" s="84"/>
      <c r="L146" s="84"/>
      <c r="M146" s="84"/>
    </row>
    <row r="147" spans="1:38" ht="13.9" customHeight="1" x14ac:dyDescent="0.2">
      <c r="A147" s="14"/>
      <c r="B147" s="84"/>
      <c r="C147" s="84"/>
      <c r="D147" s="84"/>
      <c r="E147" s="84"/>
      <c r="F147" s="84"/>
      <c r="G147" s="155"/>
      <c r="H147" s="84"/>
      <c r="I147" s="84"/>
      <c r="J147" s="84"/>
      <c r="K147" s="84"/>
      <c r="L147" s="84"/>
      <c r="M147" s="84"/>
    </row>
    <row r="148" spans="1:38" ht="13.9" customHeight="1" x14ac:dyDescent="0.2">
      <c r="B148" s="209" t="s">
        <v>9</v>
      </c>
      <c r="C148" s="209"/>
      <c r="D148" s="209"/>
      <c r="E148" s="209"/>
      <c r="F148" s="209"/>
      <c r="G148" s="255">
        <f>G141*G137</f>
        <v>0.85589869383766071</v>
      </c>
      <c r="H148" s="84"/>
      <c r="I148" s="84"/>
      <c r="J148" s="84"/>
      <c r="K148" s="84"/>
      <c r="L148" s="84"/>
      <c r="M148" s="84"/>
    </row>
    <row r="149" spans="1:38" ht="13.9" customHeight="1" x14ac:dyDescent="0.2">
      <c r="B149" s="84"/>
      <c r="C149" s="84"/>
      <c r="D149" s="84"/>
      <c r="E149" s="84"/>
      <c r="F149" s="84"/>
      <c r="G149" s="155"/>
      <c r="H149" s="84"/>
      <c r="I149" s="84"/>
      <c r="J149" s="84"/>
      <c r="K149" s="84"/>
      <c r="L149" s="84"/>
      <c r="M149" s="84"/>
    </row>
    <row r="150" spans="1:38" ht="13.9" customHeight="1" x14ac:dyDescent="0.2">
      <c r="B150" s="84" t="s">
        <v>223</v>
      </c>
      <c r="C150" s="84"/>
      <c r="D150" s="84"/>
      <c r="E150" s="84"/>
      <c r="F150" s="84"/>
      <c r="G150" s="155"/>
      <c r="H150" s="84"/>
      <c r="I150" s="84"/>
      <c r="J150" s="84"/>
      <c r="K150" s="84"/>
      <c r="L150" s="84"/>
      <c r="M150" s="84"/>
    </row>
    <row r="151" spans="1:38" ht="13.9" customHeight="1" x14ac:dyDescent="0.2">
      <c r="B151" s="84" t="s">
        <v>224</v>
      </c>
      <c r="C151" s="84"/>
      <c r="D151" s="84"/>
      <c r="E151" s="84"/>
      <c r="F151" s="84"/>
      <c r="G151" s="204">
        <f>(1-G137)/(1-G141)</f>
        <v>3.7576191508175514</v>
      </c>
      <c r="H151" s="84"/>
      <c r="I151" s="84"/>
      <c r="J151" s="84"/>
      <c r="K151" s="84"/>
      <c r="L151" s="84"/>
      <c r="M151" s="84"/>
    </row>
    <row r="152" spans="1:38" ht="13.9" customHeight="1" x14ac:dyDescent="0.2">
      <c r="M152" s="84"/>
    </row>
    <row r="153" spans="1:38" ht="13.9" customHeight="1" x14ac:dyDescent="0.2">
      <c r="B153" s="49" t="s">
        <v>225</v>
      </c>
      <c r="C153" s="50"/>
      <c r="D153" s="50"/>
      <c r="E153" s="50"/>
      <c r="F153" s="50"/>
      <c r="G153" s="51">
        <f>G151/(1+G151)</f>
        <v>0.78981083430602894</v>
      </c>
      <c r="M153" s="84"/>
    </row>
    <row r="154" spans="1:38" ht="13.9" customHeight="1" x14ac:dyDescent="0.2">
      <c r="B154" s="52" t="s">
        <v>226</v>
      </c>
      <c r="C154" s="53"/>
      <c r="D154" s="53"/>
      <c r="E154" s="53"/>
      <c r="F154" s="53"/>
      <c r="G154" s="54">
        <f>1-G153</f>
        <v>0.21018916569397106</v>
      </c>
      <c r="M154" s="84"/>
    </row>
    <row r="155" spans="1:38" ht="13.9" customHeight="1" x14ac:dyDescent="0.2">
      <c r="M155" s="84"/>
    </row>
    <row r="156" spans="1:38" ht="13.9" customHeight="1" x14ac:dyDescent="0.2">
      <c r="M156" s="84"/>
    </row>
    <row r="157" spans="1:38" ht="13.9" customHeight="1" x14ac:dyDescent="0.2">
      <c r="M157" s="84"/>
    </row>
    <row r="158" spans="1:38" ht="13.9" customHeight="1" x14ac:dyDescent="0.2">
      <c r="B158" t="s">
        <v>209</v>
      </c>
      <c r="G158" s="110" t="str">
        <f>CONCATENATE("Inferred from Row ",AO46, " and ",AO31, ".")</f>
        <v>Inferred from Row 46 and 31.</v>
      </c>
      <c r="I158" s="37"/>
      <c r="J158" s="37"/>
      <c r="K158" s="37">
        <f>K46/($M$32*Parameters!$J$17/1000000)</f>
        <v>25979.546169281602</v>
      </c>
      <c r="L158" s="37">
        <f>L46/($M$32*Parameters!$J$17/1000000)</f>
        <v>25474.131811432086</v>
      </c>
      <c r="M158" s="37">
        <f>M46/($M$32*Parameters!$J$17/1000000)</f>
        <v>23924.498682963025</v>
      </c>
      <c r="N158" s="37">
        <f>N46/($M$32*Parameters!$J$17/1000000)</f>
        <v>25178.828950581978</v>
      </c>
      <c r="O158" s="37">
        <f>O46/($M$32*Parameters!$J$17/1000000)</f>
        <v>25298.598973438788</v>
      </c>
      <c r="P158" s="37">
        <f>P46/($M$32*Parameters!$J$17/1000000)</f>
        <v>25456.56853373149</v>
      </c>
      <c r="Q158" s="37">
        <f>Q46/($M$32*Parameters!$J$17/1000000)</f>
        <v>25710.104969385124</v>
      </c>
      <c r="R158" s="37">
        <f>R46/($M$32*Parameters!$J$17/1000000)</f>
        <v>25966.166518512666</v>
      </c>
      <c r="S158" s="37">
        <f>S46/($M$32*Parameters!$J$17/1000000)</f>
        <v>26224.778330154484</v>
      </c>
      <c r="T158" s="37">
        <f>T46/($M$32*Parameters!$J$17/1000000)</f>
        <v>26485.96580382454</v>
      </c>
      <c r="U158" s="37">
        <f>U46/($M$32*Parameters!$J$17/1000000)</f>
        <v>26749.754592004992</v>
      </c>
      <c r="V158" s="37">
        <f>V46/($M$32*Parameters!$J$17/1000000)</f>
        <v>27016.17060266565</v>
      </c>
      <c r="W158" s="37">
        <f>W46/($M$32*Parameters!$J$17/1000000)</f>
        <v>27285.240001808517</v>
      </c>
      <c r="X158" s="37">
        <f>X46/($M$32*Parameters!$J$17/1000000)</f>
        <v>27556.989216037684</v>
      </c>
      <c r="Y158" s="37">
        <f>Y46/($M$32*Parameters!$J$17/1000000)</f>
        <v>27831.444935154814</v>
      </c>
      <c r="Z158" s="37">
        <f>Z46/($M$32*Parameters!$J$17/1000000)</f>
        <v>28108.634114780478</v>
      </c>
      <c r="AA158" s="37">
        <f>AA46/($M$32*Parameters!$J$17/1000000)</f>
        <v>28388.583979001589</v>
      </c>
      <c r="AB158" s="37">
        <f>AB46/($M$32*Parameters!$J$17/1000000)</f>
        <v>28671.322023045224</v>
      </c>
      <c r="AC158" s="37">
        <f>AC46/($M$32*Parameters!$J$17/1000000)</f>
        <v>28956.87601597904</v>
      </c>
      <c r="AD158" s="37">
        <f>AD46/($M$32*Parameters!$J$17/1000000)</f>
        <v>29245.274003438633</v>
      </c>
      <c r="AE158" s="37">
        <f>AE46/($M$32*Parameters!$J$17/1000000)</f>
        <v>29536.544310382036</v>
      </c>
      <c r="AF158" s="37">
        <f>AF46/($M$32*Parameters!$J$17/1000000)</f>
        <v>29830.715543871618</v>
      </c>
      <c r="AG158" s="37">
        <f>AG46/($M$32*Parameters!$J$17/1000000)</f>
        <v>30127.816595883753</v>
      </c>
      <c r="AH158" s="37">
        <f>AH46/($M$32*Parameters!$J$17/1000000)</f>
        <v>30427.876646146429</v>
      </c>
      <c r="AI158" s="37">
        <f>AI46/($M$32*Parameters!$J$17/1000000)</f>
        <v>30730.92516500513</v>
      </c>
      <c r="AJ158" s="37">
        <f>AJ46/($M$32*Parameters!$J$17/1000000)</f>
        <v>31036.991916317264</v>
      </c>
      <c r="AK158" s="37">
        <f>AK46/($M$32*Parameters!$J$17/1000000)</f>
        <v>31346.106960375411</v>
      </c>
      <c r="AL158" s="37">
        <f>AL46/($M$32*Parameters!$J$17/1000000)</f>
        <v>31658.300656859694</v>
      </c>
    </row>
    <row r="159" spans="1:38" ht="13.9" customHeight="1" x14ac:dyDescent="0.2">
      <c r="M159" s="84"/>
    </row>
    <row r="160" spans="1:38" ht="13.9" customHeight="1" x14ac:dyDescent="0.2">
      <c r="M160" s="84"/>
    </row>
    <row r="161" spans="13:13" ht="13.9" customHeight="1" x14ac:dyDescent="0.2">
      <c r="M161" s="84"/>
    </row>
    <row r="162" spans="13:13" ht="13.9" customHeight="1" x14ac:dyDescent="0.2">
      <c r="M162" s="84"/>
    </row>
    <row r="163" spans="13:13" ht="13.9" customHeight="1" x14ac:dyDescent="0.2">
      <c r="M163" s="84"/>
    </row>
    <row r="164" spans="13:13" ht="13.9" customHeight="1" x14ac:dyDescent="0.2">
      <c r="M164" s="84"/>
    </row>
    <row r="165" spans="13:13" ht="13.9" customHeight="1" x14ac:dyDescent="0.2">
      <c r="M165" s="84"/>
    </row>
    <row r="166" spans="13:13" ht="13.9" customHeight="1" x14ac:dyDescent="0.2">
      <c r="M166" s="84"/>
    </row>
    <row r="167" spans="13:13" ht="13.9" customHeight="1" x14ac:dyDescent="0.2">
      <c r="M167" s="84"/>
    </row>
    <row r="168" spans="13:13" ht="13.9" customHeight="1" x14ac:dyDescent="0.2">
      <c r="M168" s="84"/>
    </row>
    <row r="169" spans="13:13" ht="13.9" customHeight="1" x14ac:dyDescent="0.2">
      <c r="M169" s="84"/>
    </row>
    <row r="170" spans="13:13" ht="13.9" customHeight="1" x14ac:dyDescent="0.2">
      <c r="M170" s="84"/>
    </row>
    <row r="171" spans="13:13" ht="13.9" customHeight="1" x14ac:dyDescent="0.2">
      <c r="M171" s="84"/>
    </row>
    <row r="172" spans="13:13" ht="13.9" customHeight="1" x14ac:dyDescent="0.2">
      <c r="M172" s="84"/>
    </row>
    <row r="173" spans="13:13" ht="13.9" customHeight="1" x14ac:dyDescent="0.2">
      <c r="M173" s="84"/>
    </row>
    <row r="174" spans="13:13" ht="13.9" customHeight="1" x14ac:dyDescent="0.2">
      <c r="M174" s="84"/>
    </row>
    <row r="175" spans="13:13" ht="13.9" customHeight="1" x14ac:dyDescent="0.2">
      <c r="M175" s="84"/>
    </row>
    <row r="176" spans="13:13" ht="13.9" customHeight="1" x14ac:dyDescent="0.2">
      <c r="M176" s="84"/>
    </row>
    <row r="177" spans="13:13" ht="13.9" customHeight="1" x14ac:dyDescent="0.2">
      <c r="M177" s="84"/>
    </row>
    <row r="178" spans="13:13" ht="13.9" customHeight="1" x14ac:dyDescent="0.2">
      <c r="M178" s="84"/>
    </row>
    <row r="179" spans="13:13" ht="13.9" customHeight="1" x14ac:dyDescent="0.2">
      <c r="M179" s="84"/>
    </row>
    <row r="180" spans="13:13" ht="13.9" customHeight="1" x14ac:dyDescent="0.2">
      <c r="M180" s="84"/>
    </row>
    <row r="181" spans="13:13" ht="13.9" customHeight="1" x14ac:dyDescent="0.2">
      <c r="M181" s="84"/>
    </row>
    <row r="182" spans="13:13" ht="13.9" customHeight="1" x14ac:dyDescent="0.2">
      <c r="M182" s="84"/>
    </row>
    <row r="183" spans="13:13" ht="13.9" customHeight="1" x14ac:dyDescent="0.2">
      <c r="M183" s="84"/>
    </row>
    <row r="184" spans="13:13" ht="13.9" customHeight="1" x14ac:dyDescent="0.2">
      <c r="M184" s="84"/>
    </row>
    <row r="185" spans="13:13" ht="13.9" customHeight="1" x14ac:dyDescent="0.2">
      <c r="M185" s="84"/>
    </row>
    <row r="186" spans="13:13" ht="13.9" customHeight="1" x14ac:dyDescent="0.2">
      <c r="M186" s="84"/>
    </row>
    <row r="187" spans="13:13" ht="13.9" customHeight="1" x14ac:dyDescent="0.2">
      <c r="M187" s="84"/>
    </row>
    <row r="188" spans="13:13" ht="13.9" customHeight="1" x14ac:dyDescent="0.2">
      <c r="M188" s="84"/>
    </row>
    <row r="189" spans="13:13" ht="13.9" customHeight="1" x14ac:dyDescent="0.2">
      <c r="M189" s="84"/>
    </row>
    <row r="190" spans="13:13" ht="13.9" customHeight="1" x14ac:dyDescent="0.2">
      <c r="M190" s="84"/>
    </row>
    <row r="191" spans="13:13" ht="13.9" customHeight="1" x14ac:dyDescent="0.2">
      <c r="M191" s="84"/>
    </row>
    <row r="192" spans="13:13" ht="13.9" customHeight="1" x14ac:dyDescent="0.2">
      <c r="M192" s="84"/>
    </row>
    <row r="193" spans="13:13" ht="13.9" customHeight="1" x14ac:dyDescent="0.2">
      <c r="M193" s="84"/>
    </row>
    <row r="194" spans="13:13" ht="13.9" customHeight="1" x14ac:dyDescent="0.2">
      <c r="M194" s="84"/>
    </row>
    <row r="195" spans="13:13" ht="13.9" customHeight="1" x14ac:dyDescent="0.2">
      <c r="M195" s="84"/>
    </row>
    <row r="196" spans="13:13" ht="13.9" customHeight="1" x14ac:dyDescent="0.2">
      <c r="M196" s="84"/>
    </row>
    <row r="197" spans="13:13" ht="13.9" customHeight="1" x14ac:dyDescent="0.2">
      <c r="M197" s="84"/>
    </row>
    <row r="198" spans="13:13" ht="13.9" customHeight="1" x14ac:dyDescent="0.2">
      <c r="M198" s="84"/>
    </row>
    <row r="199" spans="13:13" ht="13.9" customHeight="1" x14ac:dyDescent="0.2">
      <c r="M199" s="84"/>
    </row>
    <row r="200" spans="13:13" ht="13.9" customHeight="1" x14ac:dyDescent="0.2">
      <c r="M200" s="84"/>
    </row>
    <row r="201" spans="13:13" ht="13.9" customHeight="1" x14ac:dyDescent="0.2">
      <c r="M201" s="84"/>
    </row>
    <row r="202" spans="13:13" ht="13.9" customHeight="1" x14ac:dyDescent="0.2">
      <c r="M202" s="84"/>
    </row>
    <row r="203" spans="13:13" ht="13.9" customHeight="1" x14ac:dyDescent="0.2">
      <c r="M203" s="84"/>
    </row>
    <row r="204" spans="13:13" ht="13.9" customHeight="1" x14ac:dyDescent="0.2">
      <c r="M204" s="84"/>
    </row>
    <row r="205" spans="13:13" ht="13.9" customHeight="1" x14ac:dyDescent="0.2">
      <c r="M205" s="84"/>
    </row>
    <row r="206" spans="13:13" ht="13.9" customHeight="1" x14ac:dyDescent="0.2">
      <c r="M206" s="84"/>
    </row>
    <row r="207" spans="13:13" ht="13.9" customHeight="1" x14ac:dyDescent="0.2">
      <c r="M207" s="84"/>
    </row>
    <row r="208" spans="13:13" ht="13.9" customHeight="1" x14ac:dyDescent="0.2">
      <c r="M208" s="84"/>
    </row>
    <row r="209" spans="13:13" ht="13.9" customHeight="1" x14ac:dyDescent="0.2">
      <c r="M209" s="84"/>
    </row>
    <row r="210" spans="13:13" ht="13.9" customHeight="1" x14ac:dyDescent="0.2">
      <c r="M210" s="84"/>
    </row>
    <row r="211" spans="13:13" ht="13.9" customHeight="1" x14ac:dyDescent="0.2">
      <c r="M211" s="84"/>
    </row>
    <row r="212" spans="13:13" ht="13.9" customHeight="1" x14ac:dyDescent="0.2">
      <c r="M212" s="84"/>
    </row>
    <row r="213" spans="13:13" ht="13.9" customHeight="1" x14ac:dyDescent="0.2">
      <c r="M213" s="84"/>
    </row>
    <row r="214" spans="13:13" ht="13.9" customHeight="1" x14ac:dyDescent="0.2">
      <c r="M214" s="84"/>
    </row>
    <row r="215" spans="13:13" ht="13.9" customHeight="1" x14ac:dyDescent="0.2">
      <c r="M215" s="84"/>
    </row>
    <row r="216" spans="13:13" ht="13.9" customHeight="1" x14ac:dyDescent="0.2">
      <c r="M216" s="84"/>
    </row>
    <row r="217" spans="13:13" ht="13.9" customHeight="1" x14ac:dyDescent="0.2">
      <c r="M217" s="84"/>
    </row>
    <row r="218" spans="13:13" ht="13.9" customHeight="1" x14ac:dyDescent="0.2">
      <c r="M218" s="84"/>
    </row>
    <row r="219" spans="13:13" ht="13.9" customHeight="1" x14ac:dyDescent="0.2">
      <c r="M219" s="84"/>
    </row>
    <row r="220" spans="13:13" ht="13.9" customHeight="1" x14ac:dyDescent="0.2">
      <c r="M220" s="84"/>
    </row>
    <row r="221" spans="13:13" ht="13.9" customHeight="1" x14ac:dyDescent="0.2">
      <c r="M221" s="84"/>
    </row>
    <row r="222" spans="13:13" ht="13.9" customHeight="1" x14ac:dyDescent="0.2">
      <c r="M222" s="84"/>
    </row>
    <row r="223" spans="13:13" ht="13.9" customHeight="1" x14ac:dyDescent="0.2">
      <c r="M223" s="84"/>
    </row>
    <row r="224" spans="13:13" ht="13.9" customHeight="1" x14ac:dyDescent="0.2">
      <c r="M224" s="84"/>
    </row>
    <row r="225" spans="13:13" ht="13.9" customHeight="1" x14ac:dyDescent="0.2">
      <c r="M225" s="84"/>
    </row>
    <row r="226" spans="13:13" ht="13.9" customHeight="1" x14ac:dyDescent="0.2">
      <c r="M226" s="84"/>
    </row>
    <row r="227" spans="13:13" ht="13.9" customHeight="1" x14ac:dyDescent="0.2">
      <c r="M227" s="84"/>
    </row>
    <row r="228" spans="13:13" ht="13.9" customHeight="1" x14ac:dyDescent="0.2">
      <c r="M228" s="84"/>
    </row>
    <row r="229" spans="13:13" ht="13.9" customHeight="1" x14ac:dyDescent="0.2">
      <c r="M229" s="84"/>
    </row>
    <row r="230" spans="13:13" ht="13.9" customHeight="1" x14ac:dyDescent="0.2">
      <c r="M230" s="84"/>
    </row>
    <row r="231" spans="13:13" ht="13.9" customHeight="1" x14ac:dyDescent="0.2">
      <c r="M231" s="84"/>
    </row>
    <row r="232" spans="13:13" ht="13.9" customHeight="1" x14ac:dyDescent="0.2">
      <c r="M232" s="84"/>
    </row>
    <row r="233" spans="13:13" ht="13.9" customHeight="1" x14ac:dyDescent="0.2">
      <c r="M233" s="84"/>
    </row>
    <row r="234" spans="13:13" ht="13.9" customHeight="1" x14ac:dyDescent="0.2">
      <c r="M234" s="84"/>
    </row>
    <row r="235" spans="13:13" ht="13.9" customHeight="1" x14ac:dyDescent="0.2">
      <c r="M235" s="84"/>
    </row>
    <row r="236" spans="13:13" ht="13.9" customHeight="1" x14ac:dyDescent="0.2">
      <c r="M236" s="84"/>
    </row>
    <row r="237" spans="13:13" ht="13.9" customHeight="1" x14ac:dyDescent="0.2">
      <c r="M237" s="84"/>
    </row>
    <row r="238" spans="13:13" ht="13.9" customHeight="1" x14ac:dyDescent="0.2">
      <c r="M238" s="84"/>
    </row>
    <row r="239" spans="13:13" ht="13.9" customHeight="1" x14ac:dyDescent="0.2">
      <c r="M239" s="84"/>
    </row>
    <row r="240" spans="13:13" ht="13.9" customHeight="1" x14ac:dyDescent="0.2">
      <c r="M240" s="84"/>
    </row>
    <row r="241" spans="13:13" ht="13.9" customHeight="1" x14ac:dyDescent="0.2">
      <c r="M241" s="84"/>
    </row>
    <row r="242" spans="13:13" ht="13.9" customHeight="1" x14ac:dyDescent="0.2">
      <c r="M242" s="84"/>
    </row>
    <row r="243" spans="13:13" ht="13.9" customHeight="1" x14ac:dyDescent="0.2">
      <c r="M243" s="84"/>
    </row>
    <row r="244" spans="13:13" ht="13.9" customHeight="1" x14ac:dyDescent="0.2">
      <c r="M244" s="84"/>
    </row>
    <row r="245" spans="13:13" ht="13.9" customHeight="1" x14ac:dyDescent="0.2">
      <c r="M245" s="84"/>
    </row>
    <row r="246" spans="13:13" ht="13.9" customHeight="1" x14ac:dyDescent="0.2">
      <c r="M246" s="84"/>
    </row>
    <row r="247" spans="13:13" ht="13.9" customHeight="1" x14ac:dyDescent="0.2">
      <c r="M247" s="84"/>
    </row>
    <row r="248" spans="13:13" ht="13.9" customHeight="1" x14ac:dyDescent="0.2">
      <c r="M248" s="84"/>
    </row>
    <row r="249" spans="13:13" ht="13.9" customHeight="1" x14ac:dyDescent="0.2">
      <c r="M249" s="84"/>
    </row>
    <row r="250" spans="13:13" ht="13.9" customHeight="1" x14ac:dyDescent="0.2">
      <c r="M250" s="84"/>
    </row>
    <row r="251" spans="13:13" ht="13.9" customHeight="1" x14ac:dyDescent="0.2">
      <c r="M251" s="84"/>
    </row>
    <row r="252" spans="13:13" ht="13.9" customHeight="1" x14ac:dyDescent="0.2">
      <c r="M252" s="84"/>
    </row>
    <row r="253" spans="13:13" ht="13.9" customHeight="1" x14ac:dyDescent="0.2">
      <c r="M253" s="84"/>
    </row>
    <row r="254" spans="13:13" ht="13.9" customHeight="1" x14ac:dyDescent="0.2">
      <c r="M254" s="84"/>
    </row>
    <row r="255" spans="13:13" ht="13.9" customHeight="1" x14ac:dyDescent="0.2">
      <c r="M255" s="84"/>
    </row>
    <row r="256" spans="13:13" ht="13.9" customHeight="1" x14ac:dyDescent="0.2">
      <c r="M256" s="84"/>
    </row>
    <row r="257" spans="13:13" ht="13.9" customHeight="1" x14ac:dyDescent="0.2">
      <c r="M257" s="84"/>
    </row>
    <row r="258" spans="13:13" ht="13.9" customHeight="1" x14ac:dyDescent="0.2">
      <c r="M258" s="84"/>
    </row>
    <row r="259" spans="13:13" ht="13.9" customHeight="1" x14ac:dyDescent="0.2">
      <c r="M259" s="84"/>
    </row>
    <row r="260" spans="13:13" ht="13.9" customHeight="1" x14ac:dyDescent="0.2">
      <c r="M260" s="84"/>
    </row>
    <row r="261" spans="13:13" ht="13.9" customHeight="1" x14ac:dyDescent="0.2">
      <c r="M261" s="84"/>
    </row>
    <row r="262" spans="13:13" ht="13.9" customHeight="1" x14ac:dyDescent="0.2">
      <c r="M262" s="84"/>
    </row>
    <row r="263" spans="13:13" ht="13.9" customHeight="1" x14ac:dyDescent="0.2">
      <c r="M263" s="84"/>
    </row>
    <row r="264" spans="13:13" ht="13.9" customHeight="1" x14ac:dyDescent="0.2">
      <c r="M264" s="84"/>
    </row>
    <row r="265" spans="13:13" ht="13.9" customHeight="1" x14ac:dyDescent="0.2">
      <c r="M265" s="84"/>
    </row>
    <row r="266" spans="13:13" ht="13.9" customHeight="1" x14ac:dyDescent="0.2">
      <c r="M266" s="84"/>
    </row>
    <row r="267" spans="13:13" ht="13.9" customHeight="1" x14ac:dyDescent="0.2">
      <c r="M267" s="84"/>
    </row>
    <row r="268" spans="13:13" ht="13.9" customHeight="1" x14ac:dyDescent="0.2">
      <c r="M268" s="84"/>
    </row>
    <row r="269" spans="13:13" ht="13.9" customHeight="1" x14ac:dyDescent="0.2">
      <c r="M269" s="84"/>
    </row>
    <row r="270" spans="13:13" ht="13.9" customHeight="1" x14ac:dyDescent="0.2">
      <c r="M270" s="84"/>
    </row>
    <row r="271" spans="13:13" ht="13.9" customHeight="1" x14ac:dyDescent="0.2">
      <c r="M271" s="84"/>
    </row>
    <row r="272" spans="13:13" ht="13.9" customHeight="1" x14ac:dyDescent="0.2">
      <c r="M272" s="84"/>
    </row>
    <row r="273" spans="13:13" ht="13.9" customHeight="1" x14ac:dyDescent="0.2">
      <c r="M273" s="84"/>
    </row>
    <row r="274" spans="13:13" ht="13.9" customHeight="1" x14ac:dyDescent="0.2">
      <c r="M274" s="84"/>
    </row>
    <row r="275" spans="13:13" ht="13.9" customHeight="1" x14ac:dyDescent="0.2">
      <c r="M275" s="84"/>
    </row>
    <row r="276" spans="13:13" ht="13.9" customHeight="1" x14ac:dyDescent="0.2">
      <c r="M276" s="84"/>
    </row>
    <row r="277" spans="13:13" ht="13.9" customHeight="1" x14ac:dyDescent="0.2">
      <c r="M277" s="84"/>
    </row>
    <row r="278" spans="13:13" ht="13.9" customHeight="1" x14ac:dyDescent="0.2">
      <c r="M278" s="84"/>
    </row>
    <row r="279" spans="13:13" ht="13.9" customHeight="1" x14ac:dyDescent="0.2">
      <c r="M279" s="84"/>
    </row>
    <row r="280" spans="13:13" ht="13.9" customHeight="1" x14ac:dyDescent="0.2">
      <c r="M280" s="84"/>
    </row>
    <row r="281" spans="13:13" ht="13.9" customHeight="1" x14ac:dyDescent="0.2">
      <c r="M281" s="84"/>
    </row>
    <row r="282" spans="13:13" ht="13.9" customHeight="1" x14ac:dyDescent="0.2">
      <c r="M282" s="84"/>
    </row>
    <row r="283" spans="13:13" ht="13.9" customHeight="1" x14ac:dyDescent="0.2">
      <c r="M283" s="84"/>
    </row>
    <row r="284" spans="13:13" ht="13.9" customHeight="1" x14ac:dyDescent="0.2">
      <c r="M284" s="84"/>
    </row>
    <row r="285" spans="13:13" ht="13.9" customHeight="1" x14ac:dyDescent="0.2">
      <c r="M285" s="84"/>
    </row>
    <row r="286" spans="13:13" ht="13.9" customHeight="1" x14ac:dyDescent="0.2">
      <c r="M286" s="84"/>
    </row>
    <row r="287" spans="13:13" ht="13.9" customHeight="1" x14ac:dyDescent="0.2">
      <c r="M287" s="84"/>
    </row>
    <row r="288" spans="13:13" ht="13.9" customHeight="1" x14ac:dyDescent="0.2">
      <c r="M288" s="84"/>
    </row>
    <row r="289" spans="13:13" ht="13.9" customHeight="1" x14ac:dyDescent="0.2">
      <c r="M289" s="84"/>
    </row>
    <row r="290" spans="13:13" ht="13.9" customHeight="1" x14ac:dyDescent="0.2">
      <c r="M290" s="84"/>
    </row>
    <row r="291" spans="13:13" ht="13.9" customHeight="1" x14ac:dyDescent="0.2">
      <c r="M291" s="84"/>
    </row>
    <row r="292" spans="13:13" ht="13.9" customHeight="1" x14ac:dyDescent="0.2">
      <c r="M292" s="84"/>
    </row>
    <row r="293" spans="13:13" ht="13.9" customHeight="1" x14ac:dyDescent="0.2">
      <c r="M293" s="84"/>
    </row>
    <row r="294" spans="13:13" ht="13.9" customHeight="1" x14ac:dyDescent="0.2">
      <c r="M294" s="84"/>
    </row>
    <row r="295" spans="13:13" ht="13.9" customHeight="1" x14ac:dyDescent="0.2">
      <c r="M295" s="84"/>
    </row>
    <row r="296" spans="13:13" ht="13.9" customHeight="1" x14ac:dyDescent="0.2">
      <c r="M296" s="84"/>
    </row>
    <row r="297" spans="13:13" ht="13.9" customHeight="1" x14ac:dyDescent="0.2">
      <c r="M297" s="84"/>
    </row>
    <row r="298" spans="13:13" ht="13.9" customHeight="1" x14ac:dyDescent="0.2">
      <c r="M298" s="84"/>
    </row>
    <row r="299" spans="13:13" ht="13.9" customHeight="1" x14ac:dyDescent="0.2">
      <c r="M299" s="84"/>
    </row>
    <row r="300" spans="13:13" ht="13.9" customHeight="1" x14ac:dyDescent="0.2">
      <c r="M300" s="84"/>
    </row>
    <row r="301" spans="13:13" ht="13.9" customHeight="1" x14ac:dyDescent="0.2">
      <c r="M301" s="84"/>
    </row>
    <row r="302" spans="13:13" ht="13.9" customHeight="1" x14ac:dyDescent="0.2">
      <c r="M302" s="84"/>
    </row>
    <row r="303" spans="13:13" ht="13.9" customHeight="1" x14ac:dyDescent="0.2">
      <c r="M303" s="84"/>
    </row>
    <row r="304" spans="13:13" ht="13.9" customHeight="1" x14ac:dyDescent="0.2">
      <c r="M304" s="84"/>
    </row>
    <row r="305" spans="13:13" ht="13.9" customHeight="1" x14ac:dyDescent="0.2">
      <c r="M305" s="84"/>
    </row>
    <row r="306" spans="13:13" ht="13.9" customHeight="1" x14ac:dyDescent="0.2">
      <c r="M306" s="84"/>
    </row>
    <row r="307" spans="13:13" ht="13.9" customHeight="1" x14ac:dyDescent="0.2">
      <c r="M307" s="84"/>
    </row>
    <row r="308" spans="13:13" ht="13.9" customHeight="1" x14ac:dyDescent="0.2">
      <c r="M308" s="84"/>
    </row>
    <row r="309" spans="13:13" ht="13.9" customHeight="1" x14ac:dyDescent="0.2">
      <c r="M309" s="84"/>
    </row>
    <row r="310" spans="13:13" ht="13.9" customHeight="1" x14ac:dyDescent="0.2">
      <c r="M310" s="84"/>
    </row>
    <row r="311" spans="13:13" ht="13.9" customHeight="1" x14ac:dyDescent="0.2">
      <c r="M311" s="84"/>
    </row>
    <row r="312" spans="13:13" ht="13.9" customHeight="1" x14ac:dyDescent="0.2">
      <c r="M312" s="84"/>
    </row>
    <row r="313" spans="13:13" ht="13.9" customHeight="1" x14ac:dyDescent="0.2">
      <c r="M313" s="84"/>
    </row>
    <row r="314" spans="13:13" ht="13.9" customHeight="1" x14ac:dyDescent="0.2">
      <c r="M314" s="84"/>
    </row>
    <row r="315" spans="13:13" ht="13.9" customHeight="1" x14ac:dyDescent="0.2">
      <c r="M315" s="84"/>
    </row>
    <row r="316" spans="13:13" ht="13.9" customHeight="1" x14ac:dyDescent="0.2">
      <c r="M316" s="84"/>
    </row>
    <row r="317" spans="13:13" ht="13.9" customHeight="1" x14ac:dyDescent="0.2">
      <c r="M317" s="84"/>
    </row>
    <row r="318" spans="13:13" ht="13.9" customHeight="1" x14ac:dyDescent="0.2">
      <c r="M318" s="84"/>
    </row>
    <row r="319" spans="13:13" ht="13.9" customHeight="1" x14ac:dyDescent="0.2">
      <c r="M319" s="84"/>
    </row>
    <row r="320" spans="13:13" ht="13.9" customHeight="1" x14ac:dyDescent="0.2">
      <c r="M320" s="84"/>
    </row>
    <row r="321" spans="13:13" ht="13.9" customHeight="1" x14ac:dyDescent="0.2">
      <c r="M321" s="84"/>
    </row>
    <row r="322" spans="13:13" ht="13.9" customHeight="1" x14ac:dyDescent="0.2">
      <c r="M322" s="84"/>
    </row>
    <row r="323" spans="13:13" ht="13.9" customHeight="1" x14ac:dyDescent="0.2">
      <c r="M323" s="84"/>
    </row>
    <row r="324" spans="13:13" ht="13.9" customHeight="1" x14ac:dyDescent="0.2">
      <c r="M324" s="84"/>
    </row>
    <row r="325" spans="13:13" ht="13.9" customHeight="1" x14ac:dyDescent="0.2">
      <c r="M325" s="84"/>
    </row>
    <row r="326" spans="13:13" ht="13.9" customHeight="1" x14ac:dyDescent="0.2">
      <c r="M326" s="84"/>
    </row>
    <row r="327" spans="13:13" ht="13.9" customHeight="1" x14ac:dyDescent="0.2">
      <c r="M327" s="84"/>
    </row>
    <row r="328" spans="13:13" ht="13.9" customHeight="1" x14ac:dyDescent="0.2">
      <c r="M328" s="84"/>
    </row>
    <row r="329" spans="13:13" ht="13.9" customHeight="1" x14ac:dyDescent="0.2">
      <c r="M329" s="84"/>
    </row>
    <row r="330" spans="13:13" ht="13.9" customHeight="1" x14ac:dyDescent="0.2">
      <c r="M330" s="84"/>
    </row>
    <row r="331" spans="13:13" ht="13.9" customHeight="1" x14ac:dyDescent="0.2">
      <c r="M331" s="84"/>
    </row>
    <row r="332" spans="13:13" ht="13.9" customHeight="1" x14ac:dyDescent="0.2">
      <c r="M332" s="84"/>
    </row>
    <row r="333" spans="13:13" ht="13.9" customHeight="1" x14ac:dyDescent="0.2">
      <c r="M333" s="84"/>
    </row>
    <row r="334" spans="13:13" ht="13.9" customHeight="1" x14ac:dyDescent="0.2">
      <c r="M334" s="84"/>
    </row>
    <row r="335" spans="13:13" ht="13.9" customHeight="1" x14ac:dyDescent="0.2">
      <c r="M335" s="84"/>
    </row>
    <row r="336" spans="13:13" ht="13.9" customHeight="1" x14ac:dyDescent="0.2">
      <c r="M336" s="84"/>
    </row>
  </sheetData>
  <mergeCells count="14">
    <mergeCell ref="J11:O12"/>
    <mergeCell ref="B130:H131"/>
    <mergeCell ref="B3:G6"/>
    <mergeCell ref="B70:M71"/>
    <mergeCell ref="R73:AB76"/>
    <mergeCell ref="K3:K6"/>
    <mergeCell ref="M3:M6"/>
    <mergeCell ref="M35:M39"/>
    <mergeCell ref="B43:M44"/>
    <mergeCell ref="N58:O65"/>
    <mergeCell ref="P3:P6"/>
    <mergeCell ref="N3:O6"/>
    <mergeCell ref="L3:L6"/>
    <mergeCell ref="H23:L26"/>
  </mergeCells>
  <phoneticPr fontId="3" type="noConversion"/>
  <printOptions gridLines="1"/>
  <pageMargins left="0.75" right="0.5" top="0.65" bottom="0.5" header="0.5" footer="0.5"/>
  <pageSetup scale="9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O20"/>
  <sheetViews>
    <sheetView workbookViewId="0"/>
  </sheetViews>
  <sheetFormatPr defaultRowHeight="13.9" customHeight="1" x14ac:dyDescent="0.2"/>
  <cols>
    <col min="1" max="1" width="2.5703125" customWidth="1"/>
    <col min="2" max="5" width="14.5703125" customWidth="1"/>
    <col min="6" max="8" width="9" customWidth="1"/>
  </cols>
  <sheetData>
    <row r="2" spans="2:41" ht="13.9" customHeight="1" x14ac:dyDescent="0.25">
      <c r="B2" s="70" t="s">
        <v>39</v>
      </c>
      <c r="D2" s="506" t="s">
        <v>678</v>
      </c>
      <c r="E2" s="507"/>
      <c r="F2" s="507"/>
      <c r="G2" s="507"/>
      <c r="H2" s="508"/>
      <c r="L2" s="344">
        <f>Summary!J1</f>
        <v>40823</v>
      </c>
    </row>
    <row r="3" spans="2:41" ht="13.9" customHeight="1" x14ac:dyDescent="0.25">
      <c r="B3" s="70"/>
      <c r="D3" s="509"/>
      <c r="E3" s="510"/>
      <c r="F3" s="510"/>
      <c r="G3" s="510"/>
      <c r="H3" s="511"/>
    </row>
    <row r="4" spans="2:41" ht="13.9" customHeight="1" x14ac:dyDescent="0.2">
      <c r="C4" s="496" t="s">
        <v>51</v>
      </c>
      <c r="D4" s="456"/>
      <c r="E4" s="456"/>
      <c r="F4" s="456"/>
      <c r="G4" s="456"/>
      <c r="H4" s="456"/>
      <c r="I4" s="456"/>
      <c r="J4" s="456"/>
      <c r="K4" s="456"/>
      <c r="L4" s="456"/>
      <c r="M4" s="456"/>
      <c r="N4" s="456"/>
      <c r="O4" s="456"/>
      <c r="P4" s="456"/>
    </row>
    <row r="5" spans="2:41" ht="13.9" customHeight="1" x14ac:dyDescent="0.2">
      <c r="I5" s="374"/>
      <c r="J5" s="374"/>
      <c r="K5" s="374"/>
      <c r="L5" s="374"/>
      <c r="M5" s="374"/>
      <c r="N5" s="374"/>
      <c r="O5" s="139" t="s">
        <v>116</v>
      </c>
      <c r="P5" s="100" t="s">
        <v>52</v>
      </c>
      <c r="Q5" s="101"/>
      <c r="R5" s="101"/>
      <c r="S5" s="101"/>
      <c r="T5" s="101"/>
      <c r="U5" s="101"/>
      <c r="V5" s="101"/>
      <c r="W5" s="101"/>
      <c r="X5" s="101"/>
      <c r="Y5" s="101"/>
      <c r="Z5" s="101"/>
    </row>
    <row r="6" spans="2:41" s="14" customFormat="1" ht="13.9" customHeight="1" x14ac:dyDescent="0.2">
      <c r="B6" s="99" t="s">
        <v>40</v>
      </c>
      <c r="I6" s="98">
        <f>Summary!I115</f>
        <v>2005</v>
      </c>
      <c r="J6" s="98">
        <f>Summary!J115</f>
        <v>2006</v>
      </c>
      <c r="K6" s="98">
        <f>Summary!K115</f>
        <v>2007</v>
      </c>
      <c r="L6" s="98">
        <f>Summary!L115</f>
        <v>2008</v>
      </c>
      <c r="M6" s="98">
        <f>Summary!M115</f>
        <v>2009</v>
      </c>
      <c r="N6" s="98">
        <f>Summary!N115</f>
        <v>2010</v>
      </c>
      <c r="O6" s="98">
        <f>Summary!O115</f>
        <v>2011</v>
      </c>
      <c r="P6" s="98">
        <f>Summary!P115</f>
        <v>2012</v>
      </c>
      <c r="Q6" s="98">
        <f>Summary!Q115</f>
        <v>2013</v>
      </c>
      <c r="R6" s="98">
        <f>Summary!R115</f>
        <v>2014</v>
      </c>
      <c r="S6" s="98">
        <f>Summary!S115</f>
        <v>2015</v>
      </c>
      <c r="T6" s="98">
        <f>Summary!T115</f>
        <v>2016</v>
      </c>
      <c r="U6" s="98">
        <f>Summary!U115</f>
        <v>2017</v>
      </c>
      <c r="V6" s="98">
        <f>Summary!V115</f>
        <v>2018</v>
      </c>
      <c r="W6" s="98">
        <f>Summary!W115</f>
        <v>2019</v>
      </c>
      <c r="X6" s="98">
        <f>Summary!X115</f>
        <v>2020</v>
      </c>
      <c r="Y6" s="98"/>
      <c r="Z6" s="98"/>
      <c r="AA6"/>
      <c r="AB6"/>
      <c r="AC6"/>
      <c r="AD6"/>
      <c r="AE6"/>
      <c r="AF6"/>
      <c r="AG6"/>
      <c r="AH6"/>
      <c r="AI6"/>
      <c r="AJ6"/>
      <c r="AK6"/>
      <c r="AL6"/>
      <c r="AM6"/>
      <c r="AN6"/>
      <c r="AO6"/>
    </row>
    <row r="7" spans="2:41" ht="13.9" customHeight="1" x14ac:dyDescent="0.2">
      <c r="B7" s="9" t="s">
        <v>41</v>
      </c>
      <c r="I7" s="60">
        <f>Summary!I118</f>
        <v>5862.9</v>
      </c>
      <c r="J7" s="60">
        <f>AVERAGE(I7,K7)</f>
        <v>5873.6</v>
      </c>
      <c r="K7" s="60">
        <f>Summary!K118</f>
        <v>5884.3000000000011</v>
      </c>
      <c r="L7" s="60">
        <f>Summary!L118</f>
        <v>5699.5999999999995</v>
      </c>
      <c r="M7" s="60">
        <f>Summary!M118</f>
        <v>5332.1</v>
      </c>
      <c r="N7" s="60">
        <f>Summary!N118</f>
        <v>5541.5158982895991</v>
      </c>
      <c r="O7" s="60">
        <f>Summary!O118</f>
        <v>5541.3096846096032</v>
      </c>
      <c r="P7" s="60">
        <f>Summary!P118</f>
        <v>5563.8611951701323</v>
      </c>
      <c r="Q7" s="60">
        <f>Summary!Q118</f>
        <v>5606.9083446232671</v>
      </c>
      <c r="R7" s="60">
        <f>Summary!R118</f>
        <v>5650.2982580446615</v>
      </c>
      <c r="S7" s="60">
        <f>Summary!S118</f>
        <v>5694.0337496735847</v>
      </c>
      <c r="T7" s="60">
        <f>Summary!T118</f>
        <v>5738.1176575830541</v>
      </c>
      <c r="U7" s="60">
        <f>Summary!U118</f>
        <v>5782.5528438877718</v>
      </c>
      <c r="V7" s="60">
        <f>Summary!V118</f>
        <v>5827.3421949539024</v>
      </c>
      <c r="W7" s="60">
        <f>Summary!W118</f>
        <v>5872.4886216107579</v>
      </c>
      <c r="X7" s="60">
        <f>Summary!X118</f>
        <v>5917.995059364358</v>
      </c>
      <c r="Y7" s="60"/>
      <c r="Z7" s="60"/>
    </row>
    <row r="8" spans="2:41" ht="13.9" customHeight="1" x14ac:dyDescent="0.2">
      <c r="B8" s="9" t="s">
        <v>180</v>
      </c>
      <c r="I8" s="60">
        <f>I7</f>
        <v>5862.9</v>
      </c>
      <c r="J8" s="60">
        <f>AVERAGE(I8,K8)</f>
        <v>5873.6</v>
      </c>
      <c r="K8" s="60">
        <f>K7</f>
        <v>5884.3000000000011</v>
      </c>
      <c r="L8" s="60">
        <f>L7</f>
        <v>5699.5999999999995</v>
      </c>
      <c r="M8" s="60">
        <f>M7</f>
        <v>5332.1</v>
      </c>
      <c r="N8" s="60">
        <f>N7</f>
        <v>5541.5158982895991</v>
      </c>
      <c r="O8" s="60">
        <f>O7</f>
        <v>5541.3096846096032</v>
      </c>
      <c r="P8" s="60">
        <v>5383.8566313699903</v>
      </c>
      <c r="Q8" s="60">
        <v>5257.0419213197702</v>
      </c>
      <c r="R8" s="60">
        <v>5118.5195804550603</v>
      </c>
      <c r="S8" s="60">
        <v>4971.0700830880896</v>
      </c>
      <c r="T8" s="60">
        <v>4817.05722512584</v>
      </c>
      <c r="U8" s="60">
        <v>4658.48691895718</v>
      </c>
      <c r="V8" s="60">
        <v>4497.0568981346396</v>
      </c>
      <c r="W8" s="60">
        <v>4334.1992176147896</v>
      </c>
      <c r="X8" s="60">
        <v>4171.1168385660703</v>
      </c>
      <c r="Y8" s="60"/>
      <c r="Z8" s="60"/>
    </row>
    <row r="9" spans="2:41" ht="13.9" customHeight="1" x14ac:dyDescent="0.2">
      <c r="B9" s="9" t="s">
        <v>46</v>
      </c>
      <c r="I9" s="60">
        <f>I7</f>
        <v>5862.9</v>
      </c>
      <c r="J9" s="60">
        <f>AVERAGE(I9,K9)</f>
        <v>5873.6</v>
      </c>
      <c r="K9" s="60">
        <f>K7</f>
        <v>5884.3000000000011</v>
      </c>
      <c r="L9" s="60">
        <f>L7</f>
        <v>5699.5999999999995</v>
      </c>
      <c r="M9" s="60">
        <f>M7</f>
        <v>5332.1</v>
      </c>
      <c r="N9" s="60">
        <f>N7</f>
        <v>5541.5158982895991</v>
      </c>
      <c r="O9" s="60">
        <f>O7</f>
        <v>5541.3096846096032</v>
      </c>
      <c r="P9" s="60">
        <f t="shared" ref="P9:W9" si="0">$X$9+($X$6-P6)/($X$6-$O$6)*($O$9-$X$9)</f>
        <v>5466.2982752085363</v>
      </c>
      <c r="Q9" s="60">
        <f t="shared" si="0"/>
        <v>5391.2868658074694</v>
      </c>
      <c r="R9" s="60">
        <f t="shared" si="0"/>
        <v>5316.2754564064016</v>
      </c>
      <c r="S9" s="60">
        <f t="shared" si="0"/>
        <v>5241.2640470053348</v>
      </c>
      <c r="T9" s="60">
        <f t="shared" si="0"/>
        <v>5166.2526376042679</v>
      </c>
      <c r="U9" s="60">
        <f t="shared" si="0"/>
        <v>5091.241228203201</v>
      </c>
      <c r="V9" s="60">
        <f t="shared" si="0"/>
        <v>5016.2298188021332</v>
      </c>
      <c r="W9" s="60">
        <f t="shared" si="0"/>
        <v>4941.2184094010663</v>
      </c>
      <c r="X9" s="60">
        <f>0.83*I9</f>
        <v>4866.2069999999994</v>
      </c>
      <c r="Y9" s="381" t="s">
        <v>676</v>
      </c>
      <c r="Z9" s="145"/>
      <c r="AA9" s="146"/>
    </row>
    <row r="10" spans="2:41" ht="13.9" customHeight="1" x14ac:dyDescent="0.2">
      <c r="B10" s="9" t="s">
        <v>620</v>
      </c>
      <c r="I10" s="60">
        <f>I7</f>
        <v>5862.9</v>
      </c>
      <c r="J10" s="60">
        <f>AVERAGE(I10,K10)</f>
        <v>5873.6</v>
      </c>
      <c r="K10" s="60">
        <f>Summary!K128</f>
        <v>5884.3000000000011</v>
      </c>
      <c r="L10" s="60">
        <f>Summary!L128</f>
        <v>5699.5999999999995</v>
      </c>
      <c r="M10" s="60">
        <f>Summary!M128</f>
        <v>5332.1</v>
      </c>
      <c r="N10" s="60">
        <f>Summary!N128</f>
        <v>5541.5158982895991</v>
      </c>
      <c r="O10" s="60">
        <f>Summary!O128</f>
        <v>5541.3096846096032</v>
      </c>
      <c r="P10" s="60">
        <f>Summary!P128</f>
        <v>5435.6247918920571</v>
      </c>
      <c r="Q10" s="60">
        <f>Summary!Q128</f>
        <v>5437.1109929833619</v>
      </c>
      <c r="R10" s="60">
        <f>Summary!R128</f>
        <v>5434.1422888090838</v>
      </c>
      <c r="S10" s="60">
        <f>Summary!S128</f>
        <v>5426.4670668862836</v>
      </c>
      <c r="T10" s="60">
        <f>Summary!T128</f>
        <v>5413.8270064820344</v>
      </c>
      <c r="U10" s="60">
        <f>Summary!U128</f>
        <v>5395.9582914109424</v>
      </c>
      <c r="V10" s="60">
        <f>Summary!V128</f>
        <v>5372.5931928477085</v>
      </c>
      <c r="W10" s="60">
        <f>Summary!W128</f>
        <v>5343.4620695842323</v>
      </c>
      <c r="X10" s="60">
        <f>Summary!X128</f>
        <v>5308.2958313091949</v>
      </c>
    </row>
    <row r="11" spans="2:41" ht="13.9" customHeight="1" x14ac:dyDescent="0.2">
      <c r="B11" s="9"/>
      <c r="I11" s="60"/>
      <c r="J11" s="60"/>
      <c r="K11" s="60"/>
      <c r="L11" s="60"/>
      <c r="M11" s="60"/>
      <c r="N11" s="60"/>
      <c r="O11" s="60"/>
    </row>
    <row r="17" spans="15:18" ht="13.9" customHeight="1" x14ac:dyDescent="0.2">
      <c r="O17" s="497" t="s">
        <v>677</v>
      </c>
      <c r="P17" s="498"/>
      <c r="Q17" s="498"/>
      <c r="R17" s="499"/>
    </row>
    <row r="18" spans="15:18" ht="13.9" customHeight="1" x14ac:dyDescent="0.2">
      <c r="O18" s="500"/>
      <c r="P18" s="501"/>
      <c r="Q18" s="501"/>
      <c r="R18" s="502"/>
    </row>
    <row r="19" spans="15:18" ht="13.9" customHeight="1" x14ac:dyDescent="0.2">
      <c r="O19" s="500"/>
      <c r="P19" s="501"/>
      <c r="Q19" s="501"/>
      <c r="R19" s="502"/>
    </row>
    <row r="20" spans="15:18" ht="13.9" customHeight="1" x14ac:dyDescent="0.2">
      <c r="O20" s="503"/>
      <c r="P20" s="504"/>
      <c r="Q20" s="504"/>
      <c r="R20" s="505"/>
    </row>
  </sheetData>
  <mergeCells count="3">
    <mergeCell ref="C4:P4"/>
    <mergeCell ref="O17:R20"/>
    <mergeCell ref="D2:H3"/>
  </mergeCells>
  <phoneticPr fontId="3" type="noConversion"/>
  <pageMargins left="1" right="1" top="1" bottom="1" header="0.5" footer="0.5"/>
  <pageSetup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R180"/>
  <sheetViews>
    <sheetView topLeftCell="A11" workbookViewId="0"/>
  </sheetViews>
  <sheetFormatPr defaultRowHeight="13.9" customHeight="1" x14ac:dyDescent="0.2"/>
  <cols>
    <col min="1" max="1" width="2.5703125" customWidth="1"/>
    <col min="2" max="6" width="14.5703125" customWidth="1"/>
    <col min="7" max="8" width="9" customWidth="1"/>
    <col min="9" max="9" width="9.140625" bestFit="1" customWidth="1"/>
    <col min="13" max="13" width="9" customWidth="1"/>
    <col min="16" max="16" width="8.85546875" customWidth="1"/>
    <col min="41" max="41" width="2.85546875" customWidth="1"/>
  </cols>
  <sheetData>
    <row r="1" spans="2:44" ht="13.9" customHeight="1" x14ac:dyDescent="0.2">
      <c r="AO1" s="7">
        <f>ROW()</f>
        <v>1</v>
      </c>
    </row>
    <row r="2" spans="2:44" ht="13.9" customHeight="1" x14ac:dyDescent="0.25">
      <c r="B2" s="70" t="s">
        <v>38</v>
      </c>
      <c r="D2" s="506" t="s">
        <v>678</v>
      </c>
      <c r="E2" s="507"/>
      <c r="F2" s="507"/>
      <c r="G2" s="507"/>
      <c r="H2" s="508"/>
      <c r="L2" s="344">
        <f>Summary!J1</f>
        <v>40823</v>
      </c>
      <c r="AO2" s="7">
        <f>ROW()</f>
        <v>2</v>
      </c>
    </row>
    <row r="3" spans="2:44" ht="13.9" customHeight="1" x14ac:dyDescent="0.25">
      <c r="B3" s="70"/>
      <c r="D3" s="509"/>
      <c r="E3" s="510"/>
      <c r="F3" s="510"/>
      <c r="G3" s="510"/>
      <c r="H3" s="511"/>
      <c r="AO3" s="7">
        <f>ROW()</f>
        <v>3</v>
      </c>
    </row>
    <row r="4" spans="2:44" s="14" customFormat="1" ht="13.9" customHeight="1" x14ac:dyDescent="0.2">
      <c r="B4" s="99"/>
      <c r="I4" s="98"/>
      <c r="J4" s="98"/>
      <c r="K4" s="98"/>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98"/>
      <c r="AM4"/>
      <c r="AN4"/>
      <c r="AO4" s="7">
        <f>ROW()</f>
        <v>4</v>
      </c>
      <c r="AP4"/>
      <c r="AQ4"/>
      <c r="AR4"/>
    </row>
    <row r="5" spans="2:44" s="14" customFormat="1" ht="13.9" customHeight="1" x14ac:dyDescent="0.2">
      <c r="B5" s="9"/>
      <c r="C5"/>
      <c r="D5"/>
      <c r="E5"/>
      <c r="F5"/>
      <c r="G5"/>
      <c r="H5"/>
      <c r="I5" s="60"/>
      <c r="J5" s="60"/>
      <c r="K5" s="60"/>
      <c r="L5" s="60"/>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c r="AN5"/>
      <c r="AO5" s="7">
        <f>ROW()</f>
        <v>5</v>
      </c>
      <c r="AP5"/>
      <c r="AQ5"/>
      <c r="AR5"/>
    </row>
    <row r="6" spans="2:44" s="14" customFormat="1" ht="13.9" customHeight="1" x14ac:dyDescent="0.2">
      <c r="B6"/>
      <c r="C6"/>
      <c r="D6"/>
      <c r="E6"/>
      <c r="F6"/>
      <c r="G6"/>
      <c r="H6"/>
      <c r="I6"/>
      <c r="J6"/>
      <c r="K6"/>
      <c r="L6"/>
      <c r="M6" s="98"/>
      <c r="N6" s="98"/>
      <c r="O6" s="98"/>
      <c r="P6" s="98"/>
      <c r="Q6" s="98"/>
      <c r="R6" s="98"/>
      <c r="S6" s="98"/>
      <c r="T6" s="98"/>
      <c r="U6" s="98"/>
      <c r="V6" s="98"/>
      <c r="W6" s="98"/>
      <c r="X6" s="98"/>
      <c r="Y6" s="98"/>
      <c r="Z6" s="98"/>
      <c r="AA6" s="98"/>
      <c r="AB6" s="98"/>
      <c r="AC6" s="98"/>
      <c r="AD6" s="98"/>
      <c r="AE6" s="98"/>
      <c r="AF6" s="98"/>
      <c r="AG6" s="98"/>
      <c r="AH6" s="98"/>
      <c r="AI6" s="98"/>
      <c r="AJ6" s="98"/>
      <c r="AK6" s="98"/>
      <c r="AL6" s="98"/>
      <c r="AM6"/>
      <c r="AN6"/>
      <c r="AO6" s="7">
        <f>ROW()</f>
        <v>6</v>
      </c>
      <c r="AP6"/>
      <c r="AQ6"/>
      <c r="AR6"/>
    </row>
    <row r="7" spans="2:44" s="14" customFormat="1" ht="13.9" customHeight="1" x14ac:dyDescent="0.2">
      <c r="B7"/>
      <c r="C7"/>
      <c r="D7"/>
      <c r="E7"/>
      <c r="F7"/>
      <c r="G7"/>
      <c r="H7"/>
      <c r="I7"/>
      <c r="J7"/>
      <c r="K7"/>
      <c r="L7"/>
      <c r="M7" s="98"/>
      <c r="N7" s="98"/>
      <c r="O7" s="98"/>
      <c r="P7" s="98"/>
      <c r="Q7" s="98"/>
      <c r="R7" s="98"/>
      <c r="S7" s="98"/>
      <c r="T7" s="98"/>
      <c r="U7" s="98"/>
      <c r="V7" s="98"/>
      <c r="W7" s="98"/>
      <c r="X7" s="98"/>
      <c r="Y7" s="98"/>
      <c r="Z7" s="98"/>
      <c r="AA7" s="98"/>
      <c r="AB7" s="98"/>
      <c r="AC7" s="98"/>
      <c r="AD7" s="98"/>
      <c r="AE7" s="98"/>
      <c r="AF7" s="98"/>
      <c r="AG7" s="98"/>
      <c r="AH7" s="98"/>
      <c r="AI7" s="98"/>
      <c r="AJ7" s="98"/>
      <c r="AK7" s="98"/>
      <c r="AL7" s="98"/>
      <c r="AM7"/>
      <c r="AN7"/>
      <c r="AO7" s="7">
        <f>ROW()</f>
        <v>7</v>
      </c>
      <c r="AP7"/>
      <c r="AQ7"/>
      <c r="AR7"/>
    </row>
    <row r="8" spans="2:44" s="14" customFormat="1" ht="13.9" customHeight="1" x14ac:dyDescent="0.2">
      <c r="B8"/>
      <c r="C8"/>
      <c r="D8"/>
      <c r="E8"/>
      <c r="F8"/>
      <c r="G8"/>
      <c r="H8"/>
      <c r="I8"/>
      <c r="J8"/>
      <c r="K8"/>
      <c r="L8"/>
      <c r="M8" s="98"/>
      <c r="N8" s="98"/>
      <c r="O8" s="98"/>
      <c r="P8" s="98"/>
      <c r="Q8" s="98"/>
      <c r="R8" s="98"/>
      <c r="S8" s="98"/>
      <c r="T8" s="98"/>
      <c r="U8" s="98"/>
      <c r="V8" s="98"/>
      <c r="W8" s="98"/>
      <c r="X8" s="98"/>
      <c r="Y8" s="98"/>
      <c r="Z8" s="98"/>
      <c r="AA8" s="98"/>
      <c r="AB8" s="98"/>
      <c r="AC8" s="98"/>
      <c r="AD8" s="98"/>
      <c r="AE8" s="98"/>
      <c r="AF8" s="98"/>
      <c r="AG8" s="98"/>
      <c r="AH8" s="98"/>
      <c r="AI8" s="98"/>
      <c r="AJ8" s="98"/>
      <c r="AK8" s="98"/>
      <c r="AL8" s="98"/>
      <c r="AM8"/>
      <c r="AN8"/>
      <c r="AO8" s="7">
        <f>ROW()</f>
        <v>8</v>
      </c>
      <c r="AP8"/>
      <c r="AQ8"/>
      <c r="AR8"/>
    </row>
    <row r="9" spans="2:44" s="14" customFormat="1" ht="13.9" customHeight="1" x14ac:dyDescent="0.2">
      <c r="B9"/>
      <c r="C9"/>
      <c r="D9"/>
      <c r="E9"/>
      <c r="F9"/>
      <c r="G9"/>
      <c r="H9"/>
      <c r="I9"/>
      <c r="J9"/>
      <c r="K9"/>
      <c r="L9"/>
      <c r="M9" s="98"/>
      <c r="N9" s="98"/>
      <c r="O9" s="98"/>
      <c r="P9" s="98"/>
      <c r="Q9" s="98"/>
      <c r="R9" s="98"/>
      <c r="S9" s="98"/>
      <c r="T9" s="98"/>
      <c r="U9" s="98"/>
      <c r="V9" s="98"/>
      <c r="W9" s="98"/>
      <c r="X9" s="98"/>
      <c r="Y9" s="98"/>
      <c r="Z9" s="98"/>
      <c r="AA9" s="98"/>
      <c r="AB9" s="98"/>
      <c r="AC9" s="98"/>
      <c r="AD9" s="98"/>
      <c r="AE9" s="98"/>
      <c r="AF9" s="98"/>
      <c r="AG9" s="98"/>
      <c r="AH9" s="98"/>
      <c r="AI9" s="98"/>
      <c r="AJ9" s="98"/>
      <c r="AK9" s="98"/>
      <c r="AL9" s="98"/>
      <c r="AM9"/>
      <c r="AN9"/>
      <c r="AO9" s="7">
        <f>ROW()</f>
        <v>9</v>
      </c>
      <c r="AP9"/>
      <c r="AQ9"/>
      <c r="AR9"/>
    </row>
    <row r="10" spans="2:44" s="14" customFormat="1" ht="13.9" customHeight="1" x14ac:dyDescent="0.2">
      <c r="B10"/>
      <c r="C10"/>
      <c r="D10"/>
      <c r="E10"/>
      <c r="F10"/>
      <c r="G10"/>
      <c r="H10"/>
      <c r="I10"/>
      <c r="J10"/>
      <c r="K10"/>
      <c r="L10"/>
      <c r="M10" s="98"/>
      <c r="N10" s="98"/>
      <c r="O10" s="98"/>
      <c r="P10" s="98"/>
      <c r="Q10" s="98"/>
      <c r="R10" s="98"/>
      <c r="S10" s="98"/>
      <c r="T10" s="98"/>
      <c r="U10" s="98"/>
      <c r="V10" s="98"/>
      <c r="W10" s="98"/>
      <c r="X10" s="98"/>
      <c r="Y10" s="98"/>
      <c r="Z10" s="98"/>
      <c r="AA10" s="98"/>
      <c r="AB10" s="98"/>
      <c r="AC10" s="98"/>
      <c r="AD10" s="98"/>
      <c r="AE10" s="98"/>
      <c r="AF10" s="98"/>
      <c r="AG10" s="98"/>
      <c r="AH10" s="98"/>
      <c r="AI10" s="98"/>
      <c r="AJ10" s="98"/>
      <c r="AK10" s="98"/>
      <c r="AL10" s="98"/>
      <c r="AM10"/>
      <c r="AN10"/>
      <c r="AO10" s="7">
        <f>ROW()</f>
        <v>10</v>
      </c>
      <c r="AP10"/>
      <c r="AQ10"/>
      <c r="AR10"/>
    </row>
    <row r="11" spans="2:44" s="14" customFormat="1" ht="13.9" customHeight="1" x14ac:dyDescent="0.2">
      <c r="B11"/>
      <c r="C11"/>
      <c r="D11"/>
      <c r="E11"/>
      <c r="F11"/>
      <c r="G11"/>
      <c r="H11"/>
      <c r="I11"/>
      <c r="J11"/>
      <c r="K11"/>
      <c r="L11"/>
      <c r="M11" s="98"/>
      <c r="N11" s="98"/>
      <c r="O11" s="98"/>
      <c r="P11" s="98"/>
      <c r="Q11" s="98"/>
      <c r="R11" s="98"/>
      <c r="S11" s="98"/>
      <c r="T11" s="98"/>
      <c r="U11" s="98"/>
      <c r="V11" s="98"/>
      <c r="W11" s="98"/>
      <c r="X11" s="98"/>
      <c r="Y11" s="98"/>
      <c r="Z11" s="98"/>
      <c r="AA11" s="98"/>
      <c r="AB11" s="98"/>
      <c r="AC11" s="98"/>
      <c r="AD11" s="98"/>
      <c r="AE11" s="98"/>
      <c r="AF11" s="98"/>
      <c r="AG11" s="98"/>
      <c r="AH11" s="98"/>
      <c r="AI11" s="98"/>
      <c r="AJ11" s="98"/>
      <c r="AK11" s="98"/>
      <c r="AL11" s="98"/>
      <c r="AM11"/>
      <c r="AN11"/>
      <c r="AO11" s="7">
        <f>ROW()</f>
        <v>11</v>
      </c>
      <c r="AP11"/>
      <c r="AQ11"/>
      <c r="AR11"/>
    </row>
    <row r="12" spans="2:44" s="14" customFormat="1" ht="13.9" customHeight="1" x14ac:dyDescent="0.2">
      <c r="B12"/>
      <c r="C12"/>
      <c r="D12"/>
      <c r="E12"/>
      <c r="F12"/>
      <c r="G12"/>
      <c r="H12"/>
      <c r="I12"/>
      <c r="J12"/>
      <c r="K12"/>
      <c r="L12"/>
      <c r="M12" s="98"/>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98"/>
      <c r="AM12"/>
      <c r="AN12"/>
      <c r="AO12" s="7">
        <f>ROW()</f>
        <v>12</v>
      </c>
      <c r="AP12"/>
      <c r="AQ12"/>
      <c r="AR12"/>
    </row>
    <row r="13" spans="2:44" s="14" customFormat="1" ht="13.9" customHeight="1" x14ac:dyDescent="0.2">
      <c r="B13"/>
      <c r="C13"/>
      <c r="D13"/>
      <c r="E13"/>
      <c r="F13"/>
      <c r="G13"/>
      <c r="H13"/>
      <c r="I13"/>
      <c r="J13"/>
      <c r="K13"/>
      <c r="L13"/>
      <c r="M13" s="98"/>
      <c r="N13" s="98"/>
      <c r="O13" s="98"/>
      <c r="P13" s="98"/>
      <c r="Q13" s="98"/>
      <c r="R13" s="98"/>
      <c r="S13" s="98"/>
      <c r="T13" s="98"/>
      <c r="U13" s="98"/>
      <c r="V13" s="98"/>
      <c r="W13" s="98"/>
      <c r="X13" s="98"/>
      <c r="Y13" s="98"/>
      <c r="Z13" s="98"/>
      <c r="AA13" s="98"/>
      <c r="AB13" s="98"/>
      <c r="AC13" s="98"/>
      <c r="AD13" s="98"/>
      <c r="AE13" s="98"/>
      <c r="AF13" s="98"/>
      <c r="AG13" s="98"/>
      <c r="AH13" s="98"/>
      <c r="AI13" s="98"/>
      <c r="AJ13" s="98"/>
      <c r="AK13" s="98"/>
      <c r="AL13" s="98"/>
      <c r="AM13"/>
      <c r="AN13"/>
      <c r="AO13" s="7">
        <f>ROW()</f>
        <v>13</v>
      </c>
      <c r="AP13"/>
      <c r="AQ13"/>
      <c r="AR13"/>
    </row>
    <row r="14" spans="2:44" s="14" customFormat="1" ht="13.9" customHeight="1" x14ac:dyDescent="0.2">
      <c r="B14"/>
      <c r="C14"/>
      <c r="D14"/>
      <c r="E14"/>
      <c r="F14"/>
      <c r="G14"/>
      <c r="H14"/>
      <c r="I14"/>
      <c r="J14"/>
      <c r="K14"/>
      <c r="L14"/>
      <c r="M14" s="98"/>
      <c r="N14" s="98"/>
      <c r="O14" s="98"/>
      <c r="P14" s="98"/>
      <c r="Q14" s="98"/>
      <c r="R14" s="98"/>
      <c r="S14" s="98"/>
      <c r="T14" s="98"/>
      <c r="U14" s="98"/>
      <c r="V14" s="98"/>
      <c r="W14" s="98"/>
      <c r="X14" s="98"/>
      <c r="Y14" s="98"/>
      <c r="Z14" s="98"/>
      <c r="AA14" s="98"/>
      <c r="AB14" s="98"/>
      <c r="AC14" s="98"/>
      <c r="AD14" s="98"/>
      <c r="AE14" s="98"/>
      <c r="AF14" s="98"/>
      <c r="AG14" s="98"/>
      <c r="AH14" s="98"/>
      <c r="AI14" s="98"/>
      <c r="AJ14" s="98"/>
      <c r="AK14" s="98"/>
      <c r="AL14" s="98"/>
      <c r="AM14"/>
      <c r="AN14"/>
      <c r="AO14" s="7">
        <f>ROW()</f>
        <v>14</v>
      </c>
      <c r="AP14"/>
      <c r="AQ14"/>
      <c r="AR14"/>
    </row>
    <row r="15" spans="2:44" s="14" customFormat="1" ht="13.9" customHeight="1" x14ac:dyDescent="0.2">
      <c r="B15"/>
      <c r="C15"/>
      <c r="D15"/>
      <c r="E15"/>
      <c r="F15"/>
      <c r="G15"/>
      <c r="H15"/>
      <c r="I15"/>
      <c r="J15"/>
      <c r="K15"/>
      <c r="L15"/>
      <c r="M15" s="98"/>
      <c r="N15" s="98"/>
      <c r="O15" s="98"/>
      <c r="P15" s="98"/>
      <c r="Q15" s="98"/>
      <c r="R15" s="98"/>
      <c r="S15" s="98"/>
      <c r="T15" s="98"/>
      <c r="U15" s="98"/>
      <c r="V15" s="98"/>
      <c r="W15" s="98"/>
      <c r="X15" s="98"/>
      <c r="Y15" s="98"/>
      <c r="Z15" s="98"/>
      <c r="AA15" s="98"/>
      <c r="AB15" s="98"/>
      <c r="AC15" s="98"/>
      <c r="AD15" s="98"/>
      <c r="AE15" s="98"/>
      <c r="AF15" s="98"/>
      <c r="AG15" s="98"/>
      <c r="AH15" s="98"/>
      <c r="AI15" s="98"/>
      <c r="AJ15" s="98"/>
      <c r="AK15" s="98"/>
      <c r="AL15" s="98"/>
      <c r="AM15"/>
      <c r="AN15"/>
      <c r="AO15" s="7">
        <f>ROW()</f>
        <v>15</v>
      </c>
      <c r="AP15"/>
      <c r="AQ15"/>
      <c r="AR15"/>
    </row>
    <row r="16" spans="2:44" s="14" customFormat="1" ht="13.9" customHeight="1" x14ac:dyDescent="0.2">
      <c r="B16"/>
      <c r="C16"/>
      <c r="D16"/>
      <c r="E16"/>
      <c r="F16"/>
      <c r="G16"/>
      <c r="H16"/>
      <c r="I16"/>
      <c r="J16"/>
      <c r="K16"/>
      <c r="L16"/>
      <c r="M16" s="98"/>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c r="AN16"/>
      <c r="AO16" s="7">
        <f>ROW()</f>
        <v>16</v>
      </c>
      <c r="AP16"/>
      <c r="AQ16"/>
      <c r="AR16"/>
    </row>
    <row r="17" spans="2:44" s="14" customFormat="1" ht="13.9" customHeight="1" x14ac:dyDescent="0.2">
      <c r="B17"/>
      <c r="C17"/>
      <c r="D17"/>
      <c r="E17"/>
      <c r="F17"/>
      <c r="G17"/>
      <c r="H17"/>
      <c r="I17"/>
      <c r="J17"/>
      <c r="K17"/>
      <c r="L17"/>
      <c r="M17" s="98"/>
      <c r="N17" s="98"/>
      <c r="O17" s="98"/>
      <c r="P17" s="98"/>
      <c r="Q17" s="98"/>
      <c r="R17" s="98"/>
      <c r="S17" s="98"/>
      <c r="T17" s="98"/>
      <c r="U17" s="98"/>
      <c r="V17" s="98"/>
      <c r="W17" s="98"/>
      <c r="X17" s="98"/>
      <c r="Y17" s="98"/>
      <c r="Z17" s="98"/>
      <c r="AA17" s="98"/>
      <c r="AB17" s="98"/>
      <c r="AC17" s="98"/>
      <c r="AD17" s="98"/>
      <c r="AE17" s="98"/>
      <c r="AF17" s="98"/>
      <c r="AG17" s="98"/>
      <c r="AH17" s="98"/>
      <c r="AI17" s="98"/>
      <c r="AJ17" s="98"/>
      <c r="AK17" s="98"/>
      <c r="AL17" s="98"/>
      <c r="AM17"/>
      <c r="AN17"/>
      <c r="AO17" s="7">
        <f>ROW()</f>
        <v>17</v>
      </c>
      <c r="AP17"/>
      <c r="AQ17"/>
      <c r="AR17"/>
    </row>
    <row r="18" spans="2:44" s="14" customFormat="1" ht="13.9" customHeight="1" x14ac:dyDescent="0.2">
      <c r="B18"/>
      <c r="C18"/>
      <c r="D18"/>
      <c r="E18"/>
      <c r="F18"/>
      <c r="G18"/>
      <c r="H18"/>
      <c r="I18"/>
      <c r="J18"/>
      <c r="K18"/>
      <c r="L18"/>
      <c r="M18" s="98"/>
      <c r="N18" s="98"/>
      <c r="O18" s="98"/>
      <c r="P18" s="98"/>
      <c r="Q18" s="98"/>
      <c r="R18" s="98"/>
      <c r="S18" s="98"/>
      <c r="T18" s="98"/>
      <c r="U18" s="98"/>
      <c r="V18" s="98"/>
      <c r="W18" s="98"/>
      <c r="X18" s="98"/>
      <c r="Y18" s="98"/>
      <c r="Z18" s="98"/>
      <c r="AA18" s="98"/>
      <c r="AB18" s="98"/>
      <c r="AC18" s="98"/>
      <c r="AD18" s="98"/>
      <c r="AE18" s="98"/>
      <c r="AF18" s="98"/>
      <c r="AG18" s="98"/>
      <c r="AH18" s="98"/>
      <c r="AI18" s="98"/>
      <c r="AJ18" s="98"/>
      <c r="AK18" s="98"/>
      <c r="AL18" s="98"/>
      <c r="AM18"/>
      <c r="AN18"/>
      <c r="AO18" s="7">
        <f>ROW()</f>
        <v>18</v>
      </c>
      <c r="AP18"/>
      <c r="AQ18"/>
      <c r="AR18"/>
    </row>
    <row r="19" spans="2:44" s="14" customFormat="1" ht="13.9" customHeight="1" x14ac:dyDescent="0.2">
      <c r="B19"/>
      <c r="C19"/>
      <c r="D19"/>
      <c r="E19"/>
      <c r="F19"/>
      <c r="G19"/>
      <c r="H19"/>
      <c r="I19"/>
      <c r="J19"/>
      <c r="K19"/>
      <c r="L19"/>
      <c r="M19" s="98"/>
      <c r="N19" s="98"/>
      <c r="O19" s="98"/>
      <c r="P19" s="98"/>
      <c r="Q19" s="98"/>
      <c r="R19" s="98"/>
      <c r="S19" s="98"/>
      <c r="T19" s="98"/>
      <c r="U19" s="98"/>
      <c r="V19" s="98"/>
      <c r="W19" s="98"/>
      <c r="X19" s="98"/>
      <c r="Y19" s="98"/>
      <c r="Z19" s="98"/>
      <c r="AA19" s="98"/>
      <c r="AB19" s="98"/>
      <c r="AC19" s="98"/>
      <c r="AD19" s="98"/>
      <c r="AE19" s="98"/>
      <c r="AF19" s="98"/>
      <c r="AG19" s="98"/>
      <c r="AH19" s="98"/>
      <c r="AI19" s="98"/>
      <c r="AJ19" s="98"/>
      <c r="AK19" s="98"/>
      <c r="AL19" s="98"/>
      <c r="AM19"/>
      <c r="AN19"/>
      <c r="AO19" s="7">
        <f>ROW()</f>
        <v>19</v>
      </c>
      <c r="AP19"/>
      <c r="AQ19"/>
      <c r="AR19"/>
    </row>
    <row r="20" spans="2:44" s="14" customFormat="1" ht="13.9" customHeight="1" x14ac:dyDescent="0.2">
      <c r="B20"/>
      <c r="C20"/>
      <c r="D20"/>
      <c r="E20"/>
      <c r="F20"/>
      <c r="G20"/>
      <c r="H20"/>
      <c r="I20"/>
      <c r="J20"/>
      <c r="K20"/>
      <c r="L20"/>
      <c r="M20" s="98"/>
      <c r="N20" s="98"/>
      <c r="O20" s="98"/>
      <c r="P20" s="98"/>
      <c r="Q20" s="98"/>
      <c r="R20" s="98"/>
      <c r="S20" s="98"/>
      <c r="T20" s="98"/>
      <c r="U20" s="98"/>
      <c r="V20" s="98"/>
      <c r="W20" s="98"/>
      <c r="X20" s="98"/>
      <c r="Y20" s="98"/>
      <c r="Z20" s="98"/>
      <c r="AA20" s="98"/>
      <c r="AB20" s="98"/>
      <c r="AC20" s="98"/>
      <c r="AD20" s="98"/>
      <c r="AE20" s="98"/>
      <c r="AF20" s="98"/>
      <c r="AG20" s="98"/>
      <c r="AH20" s="98"/>
      <c r="AI20" s="98"/>
      <c r="AJ20" s="98"/>
      <c r="AK20" s="98"/>
      <c r="AL20" s="98"/>
      <c r="AM20"/>
      <c r="AN20"/>
      <c r="AO20" s="7">
        <f>ROW()</f>
        <v>20</v>
      </c>
      <c r="AP20"/>
      <c r="AQ20"/>
      <c r="AR20"/>
    </row>
    <row r="21" spans="2:44" s="14" customFormat="1" ht="13.9" customHeight="1" x14ac:dyDescent="0.2">
      <c r="B21"/>
      <c r="C21"/>
      <c r="D21"/>
      <c r="E21"/>
      <c r="F21"/>
      <c r="G21"/>
      <c r="H21"/>
      <c r="I21"/>
      <c r="J21"/>
      <c r="K21"/>
      <c r="L21"/>
      <c r="M21" s="98"/>
      <c r="N21" s="98"/>
      <c r="O21" s="98"/>
      <c r="P21" s="98"/>
      <c r="Q21" s="98"/>
      <c r="R21" s="98"/>
      <c r="S21" s="98"/>
      <c r="T21" s="98"/>
      <c r="U21" s="98"/>
      <c r="V21" s="98"/>
      <c r="W21" s="98"/>
      <c r="X21" s="98"/>
      <c r="Y21" s="98"/>
      <c r="Z21" s="98"/>
      <c r="AA21" s="98"/>
      <c r="AB21" s="98"/>
      <c r="AC21" s="98"/>
      <c r="AD21" s="98"/>
      <c r="AE21" s="98"/>
      <c r="AF21" s="98"/>
      <c r="AG21" s="98"/>
      <c r="AH21" s="98"/>
      <c r="AI21" s="98"/>
      <c r="AJ21" s="98"/>
      <c r="AK21" s="98"/>
      <c r="AL21" s="98"/>
      <c r="AM21"/>
      <c r="AN21"/>
      <c r="AO21" s="7">
        <f>ROW()</f>
        <v>21</v>
      </c>
      <c r="AP21"/>
      <c r="AQ21"/>
      <c r="AR21"/>
    </row>
    <row r="22" spans="2:44" s="14" customFormat="1" ht="13.9" customHeight="1" x14ac:dyDescent="0.2">
      <c r="B22"/>
      <c r="C22"/>
      <c r="D22"/>
      <c r="E22"/>
      <c r="F22"/>
      <c r="G22"/>
      <c r="H22"/>
      <c r="I22"/>
      <c r="J22"/>
      <c r="K22"/>
      <c r="L22"/>
      <c r="M22" s="98"/>
      <c r="N22" s="98"/>
      <c r="O22" s="98"/>
      <c r="P22" s="98"/>
      <c r="Q22" s="98"/>
      <c r="R22" s="98"/>
      <c r="S22" s="98"/>
      <c r="T22" s="98"/>
      <c r="U22" s="98"/>
      <c r="V22" s="98"/>
      <c r="W22" s="98"/>
      <c r="X22" s="98"/>
      <c r="Y22" s="98"/>
      <c r="Z22" s="98"/>
      <c r="AA22" s="98"/>
      <c r="AB22" s="98"/>
      <c r="AC22" s="98"/>
      <c r="AD22" s="98"/>
      <c r="AE22" s="98"/>
      <c r="AF22" s="98"/>
      <c r="AG22" s="98"/>
      <c r="AH22" s="98"/>
      <c r="AI22" s="98"/>
      <c r="AJ22" s="98"/>
      <c r="AK22" s="98"/>
      <c r="AL22" s="98"/>
      <c r="AM22"/>
      <c r="AN22"/>
      <c r="AO22" s="7">
        <f>ROW()</f>
        <v>22</v>
      </c>
      <c r="AP22"/>
      <c r="AQ22"/>
      <c r="AR22"/>
    </row>
    <row r="23" spans="2:44" s="14" customFormat="1" ht="13.9" customHeight="1" x14ac:dyDescent="0.2">
      <c r="B23"/>
      <c r="C23"/>
      <c r="D23"/>
      <c r="E23"/>
      <c r="F23"/>
      <c r="G23"/>
      <c r="H23"/>
      <c r="I23"/>
      <c r="J23"/>
      <c r="K23"/>
      <c r="L23"/>
      <c r="M23" s="98"/>
      <c r="N23" s="98"/>
      <c r="O23" s="98"/>
      <c r="P23" s="98"/>
      <c r="Q23" s="98"/>
      <c r="R23" s="98"/>
      <c r="S23" s="98"/>
      <c r="T23" s="98"/>
      <c r="U23" s="98"/>
      <c r="V23" s="98"/>
      <c r="W23" s="98"/>
      <c r="X23" s="98"/>
      <c r="Y23" s="98"/>
      <c r="Z23" s="98"/>
      <c r="AA23" s="98"/>
      <c r="AB23" s="98"/>
      <c r="AC23" s="98"/>
      <c r="AD23" s="98"/>
      <c r="AE23" s="98"/>
      <c r="AF23" s="98"/>
      <c r="AG23" s="98"/>
      <c r="AH23" s="98"/>
      <c r="AI23" s="98"/>
      <c r="AJ23" s="98"/>
      <c r="AK23" s="98"/>
      <c r="AL23" s="98"/>
      <c r="AM23"/>
      <c r="AN23"/>
      <c r="AO23" s="7">
        <f>ROW()</f>
        <v>23</v>
      </c>
      <c r="AP23"/>
      <c r="AQ23"/>
      <c r="AR23"/>
    </row>
    <row r="24" spans="2:44" s="14" customFormat="1" ht="13.9" customHeight="1" x14ac:dyDescent="0.2">
      <c r="B24"/>
      <c r="C24"/>
      <c r="D24"/>
      <c r="E24"/>
      <c r="F24"/>
      <c r="G24"/>
      <c r="H24"/>
      <c r="I24"/>
      <c r="J24"/>
      <c r="K24"/>
      <c r="L24"/>
      <c r="M24" s="98"/>
      <c r="N24" s="98"/>
      <c r="O24" s="98"/>
      <c r="P24" s="98"/>
      <c r="Q24" s="98"/>
      <c r="R24" s="98"/>
      <c r="S24" s="98"/>
      <c r="T24" s="98"/>
      <c r="U24" s="98"/>
      <c r="V24" s="98"/>
      <c r="W24" s="98"/>
      <c r="X24" s="98"/>
      <c r="Y24" s="98"/>
      <c r="Z24" s="98"/>
      <c r="AA24" s="98"/>
      <c r="AB24" s="98"/>
      <c r="AC24" s="98"/>
      <c r="AD24" s="98"/>
      <c r="AE24" s="98"/>
      <c r="AF24" s="98"/>
      <c r="AG24" s="98"/>
      <c r="AH24" s="98"/>
      <c r="AI24" s="98"/>
      <c r="AJ24" s="98"/>
      <c r="AK24" s="98"/>
      <c r="AL24" s="98"/>
      <c r="AM24"/>
      <c r="AN24"/>
      <c r="AO24" s="7">
        <f>ROW()</f>
        <v>24</v>
      </c>
      <c r="AP24"/>
      <c r="AQ24"/>
      <c r="AR24"/>
    </row>
    <row r="25" spans="2:44" s="14" customFormat="1" ht="13.9" customHeight="1" x14ac:dyDescent="0.2">
      <c r="B25"/>
      <c r="C25"/>
      <c r="D25"/>
      <c r="E25"/>
      <c r="F25"/>
      <c r="G25"/>
      <c r="H25"/>
      <c r="I25"/>
      <c r="J25"/>
      <c r="K25"/>
      <c r="L25"/>
      <c r="M25" s="98"/>
      <c r="N25" s="98"/>
      <c r="O25" s="98"/>
      <c r="P25" s="98"/>
      <c r="Q25" s="98"/>
      <c r="R25" s="98"/>
      <c r="S25" s="98"/>
      <c r="T25" s="98"/>
      <c r="U25" s="98"/>
      <c r="V25" s="98"/>
      <c r="W25" s="98"/>
      <c r="X25" s="98"/>
      <c r="Y25" s="98"/>
      <c r="Z25" s="98"/>
      <c r="AA25" s="98"/>
      <c r="AB25" s="98"/>
      <c r="AC25" s="98"/>
      <c r="AD25" s="98"/>
      <c r="AE25" s="98"/>
      <c r="AF25" s="98"/>
      <c r="AG25" s="98"/>
      <c r="AH25" s="98"/>
      <c r="AI25" s="98"/>
      <c r="AJ25" s="98"/>
      <c r="AK25" s="98"/>
      <c r="AL25" s="98"/>
      <c r="AM25"/>
      <c r="AN25"/>
      <c r="AO25" s="7">
        <f>ROW()</f>
        <v>25</v>
      </c>
      <c r="AP25"/>
      <c r="AQ25"/>
      <c r="AR25"/>
    </row>
    <row r="26" spans="2:44" s="14" customFormat="1" ht="13.9" customHeight="1" x14ac:dyDescent="0.2">
      <c r="B26"/>
      <c r="C26"/>
      <c r="D26"/>
      <c r="E26"/>
      <c r="F26"/>
      <c r="G26"/>
      <c r="H26"/>
      <c r="I26"/>
      <c r="J26"/>
      <c r="K26"/>
      <c r="L26"/>
      <c r="M26" s="98"/>
      <c r="N26" s="98"/>
      <c r="O26" s="98"/>
      <c r="P26" s="98"/>
      <c r="Q26" s="98"/>
      <c r="R26" s="98"/>
      <c r="S26" s="98"/>
      <c r="T26" s="98"/>
      <c r="U26" s="98"/>
      <c r="V26" s="98"/>
      <c r="W26" s="98"/>
      <c r="X26" s="98"/>
      <c r="Y26" s="98"/>
      <c r="Z26" s="98"/>
      <c r="AA26" s="98"/>
      <c r="AB26" s="98"/>
      <c r="AC26" s="98"/>
      <c r="AD26" s="98"/>
      <c r="AE26" s="98"/>
      <c r="AF26" s="98"/>
      <c r="AG26" s="98"/>
      <c r="AH26" s="98"/>
      <c r="AI26" s="98"/>
      <c r="AJ26" s="98"/>
      <c r="AK26" s="98"/>
      <c r="AL26" s="98"/>
      <c r="AM26"/>
      <c r="AN26"/>
      <c r="AO26" s="7">
        <f>ROW()</f>
        <v>26</v>
      </c>
      <c r="AP26"/>
      <c r="AQ26"/>
      <c r="AR26"/>
    </row>
    <row r="27" spans="2:44" s="14" customFormat="1" ht="13.9" customHeight="1" x14ac:dyDescent="0.2">
      <c r="B27"/>
      <c r="C27"/>
      <c r="D27"/>
      <c r="E27"/>
      <c r="F27"/>
      <c r="G27"/>
      <c r="H27"/>
      <c r="I27"/>
      <c r="J27"/>
      <c r="K27"/>
      <c r="L27"/>
      <c r="M27" s="98"/>
      <c r="N27" s="98"/>
      <c r="O27" s="98"/>
      <c r="P27" s="98"/>
      <c r="Q27" s="98"/>
      <c r="R27" s="98"/>
      <c r="S27" s="98"/>
      <c r="T27" s="98"/>
      <c r="U27" s="98"/>
      <c r="V27" s="98"/>
      <c r="W27" s="98"/>
      <c r="X27" s="98"/>
      <c r="Y27" s="98"/>
      <c r="Z27" s="98"/>
      <c r="AA27" s="98"/>
      <c r="AB27" s="98"/>
      <c r="AC27" s="98"/>
      <c r="AD27" s="98"/>
      <c r="AE27" s="98"/>
      <c r="AF27" s="98"/>
      <c r="AG27" s="98"/>
      <c r="AH27" s="98"/>
      <c r="AI27" s="98"/>
      <c r="AJ27" s="98"/>
      <c r="AK27" s="98"/>
      <c r="AL27" s="98"/>
      <c r="AM27"/>
      <c r="AN27"/>
      <c r="AO27" s="7">
        <f>ROW()</f>
        <v>27</v>
      </c>
      <c r="AP27"/>
      <c r="AQ27"/>
      <c r="AR27"/>
    </row>
    <row r="28" spans="2:44" s="14" customFormat="1" ht="13.9" customHeight="1" x14ac:dyDescent="0.2">
      <c r="B28"/>
      <c r="C28"/>
      <c r="D28"/>
      <c r="E28"/>
      <c r="F28"/>
      <c r="G28"/>
      <c r="H28"/>
      <c r="I28"/>
      <c r="J28"/>
      <c r="K28"/>
      <c r="L28"/>
      <c r="M28" s="98"/>
      <c r="N28" s="98"/>
      <c r="O28" s="98"/>
      <c r="P28" s="98"/>
      <c r="Q28" s="98"/>
      <c r="R28" s="98"/>
      <c r="S28" s="98"/>
      <c r="T28" s="98"/>
      <c r="U28" s="98"/>
      <c r="V28" s="98"/>
      <c r="W28" s="98"/>
      <c r="X28" s="98"/>
      <c r="Y28" s="98"/>
      <c r="Z28" s="98"/>
      <c r="AA28" s="98"/>
      <c r="AB28" s="98"/>
      <c r="AC28" s="98"/>
      <c r="AD28" s="98"/>
      <c r="AE28" s="98"/>
      <c r="AF28" s="98"/>
      <c r="AG28" s="98"/>
      <c r="AH28" s="98"/>
      <c r="AI28" s="98"/>
      <c r="AJ28" s="98"/>
      <c r="AK28" s="98"/>
      <c r="AL28" s="98"/>
      <c r="AM28"/>
      <c r="AN28"/>
      <c r="AO28" s="7">
        <f>ROW()</f>
        <v>28</v>
      </c>
      <c r="AP28"/>
      <c r="AQ28"/>
      <c r="AR28"/>
    </row>
    <row r="29" spans="2:44" s="14" customFormat="1" ht="13.9" customHeight="1" x14ac:dyDescent="0.2">
      <c r="B29"/>
      <c r="C29"/>
      <c r="D29"/>
      <c r="E29"/>
      <c r="F29"/>
      <c r="G29"/>
      <c r="H29"/>
      <c r="I29"/>
      <c r="J29"/>
      <c r="K29"/>
      <c r="L29"/>
      <c r="M29" s="98"/>
      <c r="N29" s="98"/>
      <c r="O29" s="98"/>
      <c r="P29" s="98"/>
      <c r="Q29" s="98"/>
      <c r="R29" s="98"/>
      <c r="S29" s="98"/>
      <c r="T29" s="98"/>
      <c r="U29" s="98"/>
      <c r="V29" s="98"/>
      <c r="W29" s="98"/>
      <c r="X29" s="98"/>
      <c r="Y29" s="98"/>
      <c r="Z29" s="98"/>
      <c r="AA29" s="98"/>
      <c r="AB29" s="98"/>
      <c r="AC29" s="98"/>
      <c r="AD29" s="98"/>
      <c r="AE29" s="98"/>
      <c r="AF29" s="98"/>
      <c r="AG29" s="98"/>
      <c r="AH29" s="98"/>
      <c r="AI29" s="98"/>
      <c r="AJ29" s="98"/>
      <c r="AK29" s="98"/>
      <c r="AL29" s="98"/>
      <c r="AM29"/>
      <c r="AN29"/>
      <c r="AO29" s="7">
        <f>ROW()</f>
        <v>29</v>
      </c>
      <c r="AP29"/>
      <c r="AQ29"/>
      <c r="AR29"/>
    </row>
    <row r="30" spans="2:44" s="14" customFormat="1" ht="13.9" customHeight="1" x14ac:dyDescent="0.2">
      <c r="B30"/>
      <c r="C30"/>
      <c r="D30"/>
      <c r="E30"/>
      <c r="F30"/>
      <c r="G30"/>
      <c r="H30"/>
      <c r="I30"/>
      <c r="J30"/>
      <c r="K30"/>
      <c r="L30"/>
      <c r="M30" s="98"/>
      <c r="N30" s="98"/>
      <c r="O30" s="98"/>
      <c r="P30" s="98"/>
      <c r="Q30" s="98"/>
      <c r="R30" s="98"/>
      <c r="S30" s="98"/>
      <c r="T30" s="98"/>
      <c r="U30" s="98"/>
      <c r="V30" s="98"/>
      <c r="W30" s="98"/>
      <c r="X30" s="98"/>
      <c r="Y30" s="98"/>
      <c r="Z30" s="98"/>
      <c r="AA30" s="98"/>
      <c r="AB30" s="98"/>
      <c r="AC30" s="98"/>
      <c r="AD30" s="98"/>
      <c r="AE30" s="98"/>
      <c r="AF30" s="98"/>
      <c r="AG30" s="98"/>
      <c r="AH30" s="98"/>
      <c r="AI30" s="98"/>
      <c r="AJ30" s="98"/>
      <c r="AK30" s="98"/>
      <c r="AL30" s="98"/>
      <c r="AM30"/>
      <c r="AN30"/>
      <c r="AO30" s="7">
        <f>ROW()</f>
        <v>30</v>
      </c>
      <c r="AP30"/>
      <c r="AQ30"/>
      <c r="AR30"/>
    </row>
    <row r="31" spans="2:44" s="14" customFormat="1" ht="13.9" customHeight="1" x14ac:dyDescent="0.2">
      <c r="B31"/>
      <c r="C31"/>
      <c r="D31"/>
      <c r="E31"/>
      <c r="F31"/>
      <c r="G31"/>
      <c r="H31"/>
      <c r="I31"/>
      <c r="J31"/>
      <c r="K31"/>
      <c r="L31"/>
      <c r="M31" s="98"/>
      <c r="N31" s="98"/>
      <c r="O31" s="98"/>
      <c r="P31" s="98"/>
      <c r="Q31" s="98"/>
      <c r="R31" s="98"/>
      <c r="S31" s="98"/>
      <c r="T31" s="98"/>
      <c r="U31" s="98"/>
      <c r="V31" s="98"/>
      <c r="W31" s="98"/>
      <c r="X31" s="98"/>
      <c r="Y31" s="98"/>
      <c r="Z31" s="98"/>
      <c r="AA31" s="98"/>
      <c r="AB31" s="98"/>
      <c r="AC31" s="98"/>
      <c r="AD31" s="98"/>
      <c r="AE31" s="98"/>
      <c r="AF31" s="98"/>
      <c r="AG31" s="98"/>
      <c r="AH31" s="98"/>
      <c r="AI31" s="98"/>
      <c r="AJ31" s="98"/>
      <c r="AK31" s="98"/>
      <c r="AL31" s="98"/>
      <c r="AM31"/>
      <c r="AN31"/>
      <c r="AO31" s="7">
        <f>ROW()</f>
        <v>31</v>
      </c>
      <c r="AP31"/>
      <c r="AQ31"/>
      <c r="AR31"/>
    </row>
    <row r="32" spans="2:44" s="14" customFormat="1" ht="13.9" customHeight="1" x14ac:dyDescent="0.2">
      <c r="B32"/>
      <c r="C32"/>
      <c r="D32"/>
      <c r="E32"/>
      <c r="F32"/>
      <c r="G32"/>
      <c r="H32"/>
      <c r="I32"/>
      <c r="J32"/>
      <c r="K32"/>
      <c r="L32"/>
      <c r="M32" s="98"/>
      <c r="N32" s="98"/>
      <c r="O32" s="98"/>
      <c r="P32" s="98"/>
      <c r="Q32" s="98"/>
      <c r="R32" s="98"/>
      <c r="S32" s="98"/>
      <c r="T32" s="98"/>
      <c r="U32" s="98"/>
      <c r="V32" s="98"/>
      <c r="W32" s="98"/>
      <c r="X32" s="98"/>
      <c r="Y32" s="98"/>
      <c r="Z32" s="98"/>
      <c r="AA32" s="98"/>
      <c r="AB32" s="98"/>
      <c r="AC32" s="98"/>
      <c r="AD32" s="98"/>
      <c r="AE32" s="98"/>
      <c r="AF32" s="98"/>
      <c r="AG32" s="98"/>
      <c r="AH32" s="98"/>
      <c r="AI32" s="98"/>
      <c r="AJ32" s="98"/>
      <c r="AK32" s="98"/>
      <c r="AL32" s="98"/>
      <c r="AM32"/>
      <c r="AN32"/>
      <c r="AO32" s="7">
        <f>ROW()</f>
        <v>32</v>
      </c>
      <c r="AP32"/>
      <c r="AQ32"/>
      <c r="AR32"/>
    </row>
    <row r="33" spans="2:44" s="14" customFormat="1" ht="13.9" customHeight="1" x14ac:dyDescent="0.2">
      <c r="B33"/>
      <c r="C33"/>
      <c r="D33"/>
      <c r="E33"/>
      <c r="F33"/>
      <c r="G33"/>
      <c r="H33"/>
      <c r="I33"/>
      <c r="J33"/>
      <c r="K33"/>
      <c r="L33"/>
      <c r="M33" s="98"/>
      <c r="N33" s="98"/>
      <c r="O33" s="98"/>
      <c r="P33" s="98"/>
      <c r="Q33" s="98"/>
      <c r="R33" s="98"/>
      <c r="S33" s="98"/>
      <c r="T33" s="98"/>
      <c r="U33" s="98"/>
      <c r="V33" s="98"/>
      <c r="W33" s="98"/>
      <c r="X33" s="98"/>
      <c r="Y33" s="98"/>
      <c r="Z33" s="98"/>
      <c r="AA33" s="98"/>
      <c r="AB33" s="98"/>
      <c r="AC33" s="98"/>
      <c r="AD33" s="98"/>
      <c r="AE33" s="98"/>
      <c r="AF33" s="98"/>
      <c r="AG33" s="98"/>
      <c r="AH33" s="98"/>
      <c r="AI33" s="98"/>
      <c r="AJ33" s="98"/>
      <c r="AK33" s="98"/>
      <c r="AL33" s="98"/>
      <c r="AM33"/>
      <c r="AN33"/>
      <c r="AO33" s="7">
        <f>ROW()</f>
        <v>33</v>
      </c>
      <c r="AP33"/>
      <c r="AQ33"/>
      <c r="AR33"/>
    </row>
    <row r="34" spans="2:44" s="14" customFormat="1" ht="13.9" customHeight="1" x14ac:dyDescent="0.2">
      <c r="B34"/>
      <c r="C34"/>
      <c r="D34"/>
      <c r="E34"/>
      <c r="F34"/>
      <c r="G34"/>
      <c r="H34"/>
      <c r="I34"/>
      <c r="J34"/>
      <c r="K34"/>
      <c r="L34"/>
      <c r="M34" s="98"/>
      <c r="N34" s="98"/>
      <c r="O34" s="98"/>
      <c r="P34" s="98"/>
      <c r="Q34" s="98"/>
      <c r="R34" s="98"/>
      <c r="S34" s="98"/>
      <c r="T34" s="98"/>
      <c r="U34" s="98"/>
      <c r="V34" s="98"/>
      <c r="W34" s="98"/>
      <c r="X34" s="98"/>
      <c r="Y34" s="98"/>
      <c r="Z34" s="98"/>
      <c r="AA34" s="98"/>
      <c r="AB34" s="98"/>
      <c r="AC34" s="98"/>
      <c r="AD34" s="98"/>
      <c r="AE34" s="98"/>
      <c r="AF34" s="98"/>
      <c r="AG34" s="98"/>
      <c r="AH34" s="98"/>
      <c r="AI34" s="98"/>
      <c r="AJ34" s="98"/>
      <c r="AK34" s="98"/>
      <c r="AL34" s="98"/>
      <c r="AM34"/>
      <c r="AN34"/>
      <c r="AO34" s="7">
        <f>ROW()</f>
        <v>34</v>
      </c>
      <c r="AP34"/>
      <c r="AQ34"/>
      <c r="AR34"/>
    </row>
    <row r="35" spans="2:44" s="14" customFormat="1" ht="13.9" customHeight="1" x14ac:dyDescent="0.2">
      <c r="B35"/>
      <c r="C35"/>
      <c r="D35"/>
      <c r="E35"/>
      <c r="F35"/>
      <c r="G35"/>
      <c r="H35"/>
      <c r="I35"/>
      <c r="J35"/>
      <c r="K35"/>
      <c r="L35"/>
      <c r="M35" s="98"/>
      <c r="N35" s="98"/>
      <c r="O35" s="98"/>
      <c r="P35" s="98"/>
      <c r="Q35" s="98"/>
      <c r="R35" s="98"/>
      <c r="S35" s="98"/>
      <c r="T35" s="98"/>
      <c r="U35" s="98"/>
      <c r="V35" s="98"/>
      <c r="W35" s="98"/>
      <c r="X35" s="98"/>
      <c r="Y35" s="98"/>
      <c r="Z35" s="98"/>
      <c r="AA35" s="98"/>
      <c r="AB35" s="98"/>
      <c r="AC35" s="98"/>
      <c r="AD35" s="98"/>
      <c r="AE35" s="98"/>
      <c r="AF35" s="98"/>
      <c r="AG35" s="98"/>
      <c r="AH35" s="98"/>
      <c r="AI35" s="98"/>
      <c r="AJ35" s="98"/>
      <c r="AK35" s="98"/>
      <c r="AL35" s="98"/>
      <c r="AM35"/>
      <c r="AN35"/>
      <c r="AO35" s="7">
        <f>ROW()</f>
        <v>35</v>
      </c>
      <c r="AP35"/>
      <c r="AQ35"/>
      <c r="AR35"/>
    </row>
    <row r="36" spans="2:44" s="14" customFormat="1" ht="13.9" customHeight="1" x14ac:dyDescent="0.2">
      <c r="B36"/>
      <c r="C36"/>
      <c r="D36"/>
      <c r="E36"/>
      <c r="F36"/>
      <c r="G36"/>
      <c r="H36"/>
      <c r="I36"/>
      <c r="J36"/>
      <c r="K36"/>
      <c r="L36"/>
      <c r="M36" s="98"/>
      <c r="N36" s="98"/>
      <c r="O36" s="98"/>
      <c r="P36" s="98"/>
      <c r="Q36" s="98"/>
      <c r="R36" s="98"/>
      <c r="S36" s="98"/>
      <c r="T36" s="98"/>
      <c r="U36" s="98"/>
      <c r="V36" s="98"/>
      <c r="W36" s="98"/>
      <c r="X36" s="98"/>
      <c r="Y36" s="98"/>
      <c r="Z36" s="98"/>
      <c r="AA36" s="98"/>
      <c r="AB36" s="98"/>
      <c r="AC36" s="98"/>
      <c r="AD36" s="98"/>
      <c r="AE36" s="98"/>
      <c r="AF36" s="98"/>
      <c r="AG36" s="98"/>
      <c r="AH36" s="98"/>
      <c r="AI36" s="98"/>
      <c r="AJ36" s="98"/>
      <c r="AK36" s="98"/>
      <c r="AL36" s="98"/>
      <c r="AM36"/>
      <c r="AN36"/>
      <c r="AO36" s="7">
        <f>ROW()</f>
        <v>36</v>
      </c>
      <c r="AP36"/>
      <c r="AQ36"/>
      <c r="AR36"/>
    </row>
    <row r="37" spans="2:44" s="14" customFormat="1" ht="13.9" customHeight="1" x14ac:dyDescent="0.2">
      <c r="B37"/>
      <c r="C37"/>
      <c r="D37"/>
      <c r="E37"/>
      <c r="F37"/>
      <c r="G37"/>
      <c r="H37"/>
      <c r="I37"/>
      <c r="J37"/>
      <c r="K37"/>
      <c r="L37"/>
      <c r="M37" s="98"/>
      <c r="N37" s="98"/>
      <c r="O37" s="98"/>
      <c r="P37" s="98"/>
      <c r="Q37" s="98"/>
      <c r="R37" s="98"/>
      <c r="S37" s="98"/>
      <c r="T37" s="98"/>
      <c r="U37" s="98"/>
      <c r="V37" s="98"/>
      <c r="W37" s="98"/>
      <c r="X37" s="98"/>
      <c r="Y37" s="98"/>
      <c r="Z37" s="98"/>
      <c r="AA37" s="98"/>
      <c r="AB37" s="98"/>
      <c r="AC37" s="98"/>
      <c r="AD37" s="98"/>
      <c r="AE37" s="98"/>
      <c r="AF37" s="98"/>
      <c r="AG37" s="98"/>
      <c r="AH37" s="98"/>
      <c r="AI37" s="98"/>
      <c r="AJ37" s="98"/>
      <c r="AK37" s="98"/>
      <c r="AL37" s="98"/>
      <c r="AM37"/>
      <c r="AN37"/>
      <c r="AO37" s="7">
        <f>ROW()</f>
        <v>37</v>
      </c>
      <c r="AP37"/>
      <c r="AQ37"/>
      <c r="AR37"/>
    </row>
    <row r="38" spans="2:44" s="14" customFormat="1" ht="13.9" customHeight="1" x14ac:dyDescent="0.2">
      <c r="B38"/>
      <c r="C38"/>
      <c r="D38"/>
      <c r="E38"/>
      <c r="F38"/>
      <c r="G38"/>
      <c r="H38"/>
      <c r="I38"/>
      <c r="J38"/>
      <c r="K38"/>
      <c r="L3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c r="AN38"/>
      <c r="AO38" s="7">
        <f>ROW()</f>
        <v>38</v>
      </c>
      <c r="AP38"/>
      <c r="AQ38"/>
      <c r="AR38"/>
    </row>
    <row r="39" spans="2:44" ht="13.9" customHeight="1" x14ac:dyDescent="0.2">
      <c r="M39" s="60"/>
      <c r="N39" s="60"/>
      <c r="O39" s="60"/>
      <c r="P39" s="60"/>
      <c r="Q39" s="60"/>
      <c r="R39" s="60"/>
      <c r="S39" s="60"/>
      <c r="T39" s="60"/>
      <c r="U39" s="60"/>
      <c r="V39" s="60"/>
      <c r="W39" s="60"/>
      <c r="X39" s="60"/>
      <c r="Y39" s="60"/>
      <c r="Z39" s="60"/>
      <c r="AO39" s="7">
        <f>ROW()</f>
        <v>39</v>
      </c>
    </row>
    <row r="40" spans="2:44" ht="13.9" customHeight="1" x14ac:dyDescent="0.2">
      <c r="M40" s="60"/>
      <c r="N40" s="60"/>
      <c r="O40" s="60"/>
      <c r="P40" s="60"/>
      <c r="Q40" s="60"/>
      <c r="R40" s="60"/>
      <c r="S40" s="60"/>
      <c r="T40" s="60"/>
      <c r="U40" s="60"/>
      <c r="V40" s="60"/>
      <c r="W40" s="60"/>
      <c r="X40" s="60"/>
      <c r="Y40" s="60"/>
      <c r="Z40" s="60"/>
      <c r="AO40" s="7">
        <f>ROW()</f>
        <v>40</v>
      </c>
    </row>
    <row r="41" spans="2:44" ht="13.9" customHeight="1" x14ac:dyDescent="0.2">
      <c r="C41" s="496" t="s">
        <v>596</v>
      </c>
      <c r="D41" s="456"/>
      <c r="E41" s="456"/>
      <c r="F41" s="456"/>
      <c r="G41" s="456"/>
      <c r="H41" s="456"/>
      <c r="I41" s="456"/>
      <c r="J41" s="456"/>
      <c r="K41" s="456"/>
      <c r="L41" s="456"/>
      <c r="M41" s="456"/>
      <c r="N41" s="456"/>
      <c r="O41" s="456"/>
      <c r="P41" s="456"/>
      <c r="Q41" s="456"/>
      <c r="R41" s="456"/>
      <c r="S41" s="456"/>
      <c r="AO41" s="7">
        <f>ROW()</f>
        <v>41</v>
      </c>
    </row>
    <row r="42" spans="2:44" ht="13.9" customHeight="1" x14ac:dyDescent="0.2">
      <c r="I42" s="140"/>
      <c r="J42" s="140"/>
      <c r="K42" s="139" t="s">
        <v>116</v>
      </c>
      <c r="L42" s="100" t="s">
        <v>52</v>
      </c>
      <c r="M42" s="100"/>
      <c r="N42" s="100"/>
      <c r="O42" s="100"/>
      <c r="P42" s="101"/>
      <c r="Q42" s="101"/>
      <c r="R42" s="101"/>
      <c r="S42" s="101"/>
      <c r="T42" s="101"/>
      <c r="U42" s="101"/>
      <c r="V42" s="101"/>
      <c r="W42" s="101"/>
      <c r="X42" s="101"/>
      <c r="Y42" s="101"/>
      <c r="AO42" s="7">
        <f>ROW()</f>
        <v>42</v>
      </c>
    </row>
    <row r="43" spans="2:44" s="14" customFormat="1" ht="13.9" customHeight="1" x14ac:dyDescent="0.2">
      <c r="I43" s="98">
        <f>Summary!I115</f>
        <v>2005</v>
      </c>
      <c r="J43" s="98">
        <f>Summary!J115</f>
        <v>2006</v>
      </c>
      <c r="K43" s="98">
        <f>Summary!K115</f>
        <v>2007</v>
      </c>
      <c r="L43" s="98">
        <f>Summary!L115</f>
        <v>2008</v>
      </c>
      <c r="M43" s="98">
        <f>Summary!M115</f>
        <v>2009</v>
      </c>
      <c r="N43" s="98">
        <f>Summary!N115</f>
        <v>2010</v>
      </c>
      <c r="O43" s="98">
        <f>Summary!O115</f>
        <v>2011</v>
      </c>
      <c r="P43" s="98">
        <f>Summary!P115</f>
        <v>2012</v>
      </c>
      <c r="Q43" s="98">
        <f>Summary!Q115</f>
        <v>2013</v>
      </c>
      <c r="R43" s="98">
        <f>Summary!R115</f>
        <v>2014</v>
      </c>
      <c r="S43" s="98">
        <f>Summary!S115</f>
        <v>2015</v>
      </c>
      <c r="T43" s="98">
        <f>Summary!T115</f>
        <v>2016</v>
      </c>
      <c r="U43" s="98">
        <f>Summary!U115</f>
        <v>2017</v>
      </c>
      <c r="V43" s="98">
        <f>Summary!V115</f>
        <v>2018</v>
      </c>
      <c r="W43" s="98">
        <f>Summary!W115</f>
        <v>2019</v>
      </c>
      <c r="X43" s="98">
        <f>Summary!X115</f>
        <v>2020</v>
      </c>
      <c r="Y43" s="98">
        <f>Summary!Y115</f>
        <v>2021</v>
      </c>
      <c r="Z43" s="98">
        <f>Summary!Z115</f>
        <v>2022</v>
      </c>
      <c r="AA43" s="98">
        <f>Summary!AA115</f>
        <v>2023</v>
      </c>
      <c r="AB43" s="98">
        <f>Summary!AB115</f>
        <v>2024</v>
      </c>
      <c r="AC43" s="98">
        <f>Summary!AC115</f>
        <v>2025</v>
      </c>
      <c r="AD43" s="98">
        <f>Summary!AD115</f>
        <v>2026</v>
      </c>
      <c r="AE43" s="98">
        <f>Summary!AE115</f>
        <v>2027</v>
      </c>
      <c r="AF43" s="98">
        <f>Summary!AF115</f>
        <v>2028</v>
      </c>
      <c r="AG43" s="98">
        <f>Summary!AG115</f>
        <v>2029</v>
      </c>
      <c r="AH43" s="98">
        <f>Summary!AH115</f>
        <v>2030</v>
      </c>
      <c r="AI43" s="98">
        <f>Summary!AI115</f>
        <v>2031</v>
      </c>
      <c r="AJ43" s="98">
        <f>Summary!AJ115</f>
        <v>2032</v>
      </c>
      <c r="AK43" s="98">
        <f>Summary!AK115</f>
        <v>2033</v>
      </c>
      <c r="AL43" s="98">
        <f>Summary!AL115</f>
        <v>2034</v>
      </c>
      <c r="AM43"/>
      <c r="AN43"/>
      <c r="AO43" s="7">
        <f>ROW()</f>
        <v>43</v>
      </c>
      <c r="AP43"/>
      <c r="AQ43"/>
      <c r="AR43"/>
    </row>
    <row r="44" spans="2:44" s="14" customFormat="1" ht="13.9" customHeight="1" x14ac:dyDescent="0.2">
      <c r="I44" s="98"/>
      <c r="J44" s="98"/>
      <c r="K44" s="98"/>
      <c r="L44" s="98"/>
      <c r="M44" s="98"/>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98"/>
      <c r="AM44"/>
      <c r="AN44"/>
      <c r="AO44" s="7">
        <f>ROW()</f>
        <v>44</v>
      </c>
      <c r="AP44"/>
      <c r="AQ44"/>
      <c r="AR44"/>
    </row>
    <row r="45" spans="2:44" ht="13.9" customHeight="1" x14ac:dyDescent="0.2">
      <c r="B45" s="9" t="s">
        <v>41</v>
      </c>
      <c r="I45" s="47">
        <f>I75</f>
        <v>20275.414164397465</v>
      </c>
      <c r="J45" s="47">
        <f t="shared" ref="J45:AL45" si="0">J75</f>
        <v>20310.541796050304</v>
      </c>
      <c r="K45" s="47">
        <f t="shared" si="0"/>
        <v>20345.669427703146</v>
      </c>
      <c r="L45" s="47">
        <f t="shared" si="0"/>
        <v>19501.139827015551</v>
      </c>
      <c r="M45" s="47">
        <f t="shared" si="0"/>
        <v>18645.204131471633</v>
      </c>
      <c r="N45" s="47">
        <f t="shared" si="0"/>
        <v>19165.946661645201</v>
      </c>
      <c r="O45" s="47">
        <f t="shared" si="0"/>
        <v>19079.198832002687</v>
      </c>
      <c r="P45" s="47">
        <f t="shared" si="0"/>
        <v>19156.602481000806</v>
      </c>
      <c r="Q45" s="47">
        <f t="shared" si="0"/>
        <v>19303.531670760931</v>
      </c>
      <c r="R45" s="47">
        <f t="shared" si="0"/>
        <v>19451.632084064204</v>
      </c>
      <c r="S45" s="47">
        <f t="shared" si="0"/>
        <v>19600.913433586789</v>
      </c>
      <c r="T45" s="47">
        <f t="shared" si="0"/>
        <v>19751.385515641985</v>
      </c>
      <c r="U45" s="47">
        <f t="shared" si="0"/>
        <v>19903.058210924963</v>
      </c>
      <c r="V45" s="47">
        <f t="shared" si="0"/>
        <v>20055.941485264313</v>
      </c>
      <c r="W45" s="47">
        <f t="shared" si="0"/>
        <v>20210.045390380474</v>
      </c>
      <c r="X45" s="47">
        <f t="shared" si="0"/>
        <v>20365.380064651144</v>
      </c>
      <c r="Y45" s="47">
        <f t="shared" si="0"/>
        <v>20521.955733883653</v>
      </c>
      <c r="Z45" s="47">
        <f t="shared" si="0"/>
        <v>20679.782712094438</v>
      </c>
      <c r="AA45" s="47">
        <f t="shared" si="0"/>
        <v>20838.871402295652</v>
      </c>
      <c r="AB45" s="47">
        <f t="shared" si="0"/>
        <v>20999.232297289047</v>
      </c>
      <c r="AC45" s="47">
        <f t="shared" si="0"/>
        <v>21160.875980467012</v>
      </c>
      <c r="AD45" s="47">
        <f t="shared" si="0"/>
        <v>21323.813126621091</v>
      </c>
      <c r="AE45" s="47">
        <f t="shared" si="0"/>
        <v>21488.054502757826</v>
      </c>
      <c r="AF45" s="47">
        <f t="shared" si="0"/>
        <v>21653.610968922112</v>
      </c>
      <c r="AG45" s="47">
        <f t="shared" si="0"/>
        <v>21820.493479028148</v>
      </c>
      <c r="AH45" s="47">
        <f t="shared" si="0"/>
        <v>21988.713081697955</v>
      </c>
      <c r="AI45" s="47">
        <f t="shared" si="0"/>
        <v>22158.280921107606</v>
      </c>
      <c r="AJ45" s="47">
        <f t="shared" si="0"/>
        <v>22329.208237841282</v>
      </c>
      <c r="AK45" s="47">
        <f t="shared" si="0"/>
        <v>22501.50636975309</v>
      </c>
      <c r="AL45" s="47">
        <f t="shared" si="0"/>
        <v>22675.186752836853</v>
      </c>
      <c r="AO45" s="7">
        <f>ROW()</f>
        <v>45</v>
      </c>
    </row>
    <row r="46" spans="2:44" ht="13.9" customHeight="1" x14ac:dyDescent="0.2">
      <c r="B46" s="9" t="s">
        <v>180</v>
      </c>
      <c r="I46" s="47">
        <f t="shared" ref="I46:O46" si="1">I45</f>
        <v>20275.414164397465</v>
      </c>
      <c r="J46" s="47">
        <f t="shared" si="1"/>
        <v>20310.541796050304</v>
      </c>
      <c r="K46" s="47">
        <f t="shared" si="1"/>
        <v>20345.669427703146</v>
      </c>
      <c r="L46" s="47">
        <f t="shared" si="1"/>
        <v>19501.139827015551</v>
      </c>
      <c r="M46" s="47">
        <f t="shared" si="1"/>
        <v>18645.204131471633</v>
      </c>
      <c r="N46" s="47">
        <f t="shared" si="1"/>
        <v>19165.946661645201</v>
      </c>
      <c r="O46" s="47">
        <f t="shared" si="1"/>
        <v>19079.198832002687</v>
      </c>
      <c r="P46" s="47">
        <v>18789.824596164101</v>
      </c>
      <c r="Q46" s="47">
        <v>18566.444120288201</v>
      </c>
      <c r="R46" s="47">
        <v>18299.578505679299</v>
      </c>
      <c r="S46" s="47">
        <v>17994.4143102694</v>
      </c>
      <c r="T46" s="47">
        <v>17655.798759814599</v>
      </c>
      <c r="U46" s="47">
        <v>17288.255055770602</v>
      </c>
      <c r="V46" s="47">
        <v>16895.995002396201</v>
      </c>
      <c r="W46" s="47">
        <v>16482.930314451001</v>
      </c>
      <c r="X46" s="47">
        <v>16052.6833953757</v>
      </c>
      <c r="Y46" s="47">
        <v>15608.598029422999</v>
      </c>
      <c r="Z46" s="47">
        <v>15226.115375301501</v>
      </c>
      <c r="AA46" s="47">
        <v>14871.5510786083</v>
      </c>
      <c r="AB46" s="47">
        <v>14541.3399896381</v>
      </c>
      <c r="AC46" s="47">
        <v>14231.6758771776</v>
      </c>
      <c r="AD46" s="47">
        <v>13939.3839266534</v>
      </c>
      <c r="AE46" s="47">
        <v>13661.7915572246</v>
      </c>
      <c r="AF46" s="47">
        <v>13396.631753686101</v>
      </c>
      <c r="AG46" s="47">
        <v>13141.969484504099</v>
      </c>
      <c r="AH46" s="47">
        <v>12896.1448499295</v>
      </c>
      <c r="AI46" s="47">
        <v>12657.7285699777</v>
      </c>
      <c r="AJ46" s="47">
        <v>12425.486714750101</v>
      </c>
      <c r="AK46" s="47">
        <v>12344.9247571409</v>
      </c>
      <c r="AL46" s="47">
        <v>12264.975595787</v>
      </c>
      <c r="AO46" s="7">
        <f>ROW()</f>
        <v>46</v>
      </c>
    </row>
    <row r="47" spans="2:44" ht="13.9" customHeight="1" x14ac:dyDescent="0.2">
      <c r="B47" s="9" t="s">
        <v>46</v>
      </c>
      <c r="I47" s="47">
        <f t="shared" ref="I47:O47" si="2">I45</f>
        <v>20275.414164397465</v>
      </c>
      <c r="J47" s="47">
        <f t="shared" si="2"/>
        <v>20310.541796050304</v>
      </c>
      <c r="K47" s="47">
        <f t="shared" si="2"/>
        <v>20345.669427703146</v>
      </c>
      <c r="L47" s="47">
        <f t="shared" si="2"/>
        <v>19501.139827015551</v>
      </c>
      <c r="M47" s="47">
        <f t="shared" si="2"/>
        <v>18645.204131471633</v>
      </c>
      <c r="N47" s="47">
        <f t="shared" si="2"/>
        <v>19165.946661645201</v>
      </c>
      <c r="O47" s="47">
        <f t="shared" si="2"/>
        <v>19079.198832002687</v>
      </c>
      <c r="P47" s="47">
        <v>18978.178222409999</v>
      </c>
      <c r="Q47" s="47">
        <v>18913.5308506334</v>
      </c>
      <c r="R47" s="47">
        <v>18817.640478806901</v>
      </c>
      <c r="S47" s="47">
        <v>18692.230644310599</v>
      </c>
      <c r="T47" s="47">
        <v>18539.045154584401</v>
      </c>
      <c r="U47" s="47">
        <v>18359.8380515555</v>
      </c>
      <c r="V47" s="47">
        <v>18156.3641991439</v>
      </c>
      <c r="W47" s="47">
        <v>17930.370533047299</v>
      </c>
      <c r="X47" s="47">
        <v>17683.587996042799</v>
      </c>
      <c r="Y47" s="47">
        <v>17417.7241694205</v>
      </c>
      <c r="Z47" s="47">
        <v>17187.759828609302</v>
      </c>
      <c r="AA47" s="47">
        <v>16969.7425693677</v>
      </c>
      <c r="AB47" s="47">
        <v>16762.647505302801</v>
      </c>
      <c r="AC47" s="47">
        <v>16565.030545801499</v>
      </c>
      <c r="AD47" s="47">
        <v>16375.6069830468</v>
      </c>
      <c r="AE47" s="47">
        <v>16193.2294143046</v>
      </c>
      <c r="AF47" s="47">
        <v>16016.8695813411</v>
      </c>
      <c r="AG47" s="47">
        <v>15845.6033361954</v>
      </c>
      <c r="AH47" s="47">
        <v>15678.598122094099</v>
      </c>
      <c r="AI47" s="47">
        <v>15515.102492301001</v>
      </c>
      <c r="AJ47" s="47">
        <v>15354.4372908388</v>
      </c>
      <c r="AK47" s="47">
        <v>15289.423537412</v>
      </c>
      <c r="AL47" s="47">
        <v>15224.748761545299</v>
      </c>
      <c r="AO47" s="7">
        <f>ROW()</f>
        <v>47</v>
      </c>
    </row>
    <row r="48" spans="2:44" ht="13.9" customHeight="1" x14ac:dyDescent="0.2">
      <c r="B48" s="9" t="s">
        <v>620</v>
      </c>
      <c r="I48" s="47">
        <f>I98</f>
        <v>20275.414164397465</v>
      </c>
      <c r="J48" s="47">
        <f t="shared" ref="J48:AL48" si="3">J98</f>
        <v>20310.541796050304</v>
      </c>
      <c r="K48" s="47">
        <f t="shared" si="3"/>
        <v>20345.669427703146</v>
      </c>
      <c r="L48" s="47">
        <f t="shared" si="3"/>
        <v>19501.139827015551</v>
      </c>
      <c r="M48" s="47">
        <f t="shared" si="3"/>
        <v>18645.204131471633</v>
      </c>
      <c r="N48" s="47">
        <f t="shared" si="3"/>
        <v>19165.946661645201</v>
      </c>
      <c r="O48" s="47">
        <f t="shared" si="3"/>
        <v>19079.198832002687</v>
      </c>
      <c r="P48" s="47">
        <f t="shared" si="3"/>
        <v>18873.29146760044</v>
      </c>
      <c r="Q48" s="47">
        <f t="shared" si="3"/>
        <v>18885.373471396342</v>
      </c>
      <c r="R48" s="47">
        <f t="shared" si="3"/>
        <v>18879.854481580951</v>
      </c>
      <c r="S48" s="47">
        <f t="shared" si="3"/>
        <v>18856.121309647417</v>
      </c>
      <c r="T48" s="47">
        <f t="shared" si="3"/>
        <v>18813.566427560894</v>
      </c>
      <c r="U48" s="47">
        <f t="shared" si="3"/>
        <v>18751.59123948518</v>
      </c>
      <c r="V48" s="47">
        <f t="shared" si="3"/>
        <v>18669.610094205556</v>
      </c>
      <c r="W48" s="47">
        <f t="shared" si="3"/>
        <v>18567.055125412913</v>
      </c>
      <c r="X48" s="47">
        <f t="shared" si="3"/>
        <v>18443.381999249035</v>
      </c>
      <c r="Y48" s="47">
        <f t="shared" si="3"/>
        <v>18298.076635424808</v>
      </c>
      <c r="Z48" s="47">
        <f t="shared" si="3"/>
        <v>18224.34392117316</v>
      </c>
      <c r="AA48" s="47">
        <f t="shared" si="3"/>
        <v>18141.175423123292</v>
      </c>
      <c r="AB48" s="47">
        <f t="shared" si="3"/>
        <v>18047.948986825031</v>
      </c>
      <c r="AC48" s="47">
        <f t="shared" si="3"/>
        <v>17944.805225134838</v>
      </c>
      <c r="AD48" s="47">
        <f t="shared" si="3"/>
        <v>17831.891140881628</v>
      </c>
      <c r="AE48" s="47">
        <f t="shared" si="3"/>
        <v>17774.535845905462</v>
      </c>
      <c r="AF48" s="47">
        <f t="shared" si="3"/>
        <v>17713.513492821014</v>
      </c>
      <c r="AG48" s="47">
        <f t="shared" si="3"/>
        <v>17649.426973098416</v>
      </c>
      <c r="AH48" s="47">
        <f t="shared" si="3"/>
        <v>17582.907053764651</v>
      </c>
      <c r="AI48" s="47">
        <f t="shared" si="3"/>
        <v>17514.61046744241</v>
      </c>
      <c r="AJ48" s="47">
        <f t="shared" si="3"/>
        <v>17445.217971547296</v>
      </c>
      <c r="AK48" s="47">
        <f t="shared" si="3"/>
        <v>17375.432411107671</v>
      </c>
      <c r="AL48" s="47">
        <f t="shared" si="3"/>
        <v>17305.976821346976</v>
      </c>
      <c r="AO48" s="7">
        <f>ROW()</f>
        <v>48</v>
      </c>
    </row>
    <row r="49" spans="2:41" ht="13.9" customHeight="1" x14ac:dyDescent="0.2">
      <c r="B49" s="9"/>
      <c r="I49" s="60"/>
      <c r="J49" s="60"/>
      <c r="K49" s="60"/>
      <c r="M49" s="60"/>
      <c r="N49" s="60"/>
      <c r="O49" s="60"/>
      <c r="P49" s="60"/>
      <c r="Q49" s="60"/>
      <c r="R49" s="60"/>
      <c r="S49" s="60"/>
      <c r="T49" s="60"/>
      <c r="U49" s="60"/>
      <c r="V49" s="60"/>
      <c r="W49" s="60"/>
      <c r="AO49" s="7">
        <f>ROW()</f>
        <v>49</v>
      </c>
    </row>
    <row r="50" spans="2:41" ht="13.9" customHeight="1" x14ac:dyDescent="0.2">
      <c r="B50" s="42" t="s">
        <v>641</v>
      </c>
      <c r="I50" s="60"/>
      <c r="J50" s="60"/>
      <c r="K50" s="60"/>
      <c r="M50" s="60"/>
      <c r="N50" s="60"/>
      <c r="O50" s="60"/>
      <c r="P50" s="60"/>
      <c r="Q50" s="60"/>
      <c r="R50" s="60"/>
      <c r="S50" s="60"/>
      <c r="T50" s="60"/>
      <c r="U50" s="60"/>
      <c r="W50" s="375" t="s">
        <v>644</v>
      </c>
      <c r="X50" s="12">
        <f>X48/I48-1</f>
        <v>-9.0357323914269538E-2</v>
      </c>
      <c r="AO50" s="7">
        <f>ROW()</f>
        <v>50</v>
      </c>
    </row>
    <row r="51" spans="2:41" ht="13.9" customHeight="1" x14ac:dyDescent="0.2">
      <c r="B51" s="42"/>
      <c r="I51" s="60"/>
      <c r="J51" s="60"/>
      <c r="K51" s="60"/>
      <c r="M51" s="60"/>
      <c r="N51" s="60"/>
      <c r="O51" s="60"/>
      <c r="P51" s="60"/>
      <c r="Q51" s="60"/>
      <c r="R51" s="60"/>
      <c r="S51" s="60"/>
      <c r="T51" s="60"/>
      <c r="U51" s="60"/>
      <c r="W51" s="376" t="s">
        <v>645</v>
      </c>
      <c r="X51" s="12">
        <f>X48/X45-1</f>
        <v>-9.4375752345431718E-2</v>
      </c>
      <c r="AO51" s="7">
        <f>ROW()</f>
        <v>51</v>
      </c>
    </row>
    <row r="52" spans="2:41" ht="13.9" customHeight="1" x14ac:dyDescent="0.2">
      <c r="B52" s="9" t="s">
        <v>643</v>
      </c>
      <c r="I52" s="60"/>
      <c r="J52" s="60"/>
      <c r="K52" s="60"/>
      <c r="M52" s="60"/>
      <c r="N52" s="60"/>
      <c r="O52" s="60"/>
      <c r="P52" s="60"/>
      <c r="Q52" s="60"/>
      <c r="R52" s="60"/>
      <c r="S52" s="60"/>
      <c r="T52" s="60"/>
      <c r="U52" s="60"/>
      <c r="V52" s="60"/>
      <c r="W52" s="60"/>
      <c r="AO52" s="7">
        <f>ROW()</f>
        <v>52</v>
      </c>
    </row>
    <row r="53" spans="2:41" ht="13.9" customHeight="1" x14ac:dyDescent="0.2">
      <c r="B53" s="9"/>
      <c r="I53" s="60"/>
      <c r="J53" s="60"/>
      <c r="K53" s="60"/>
      <c r="M53" s="60"/>
      <c r="N53" s="60"/>
      <c r="O53" s="60"/>
      <c r="P53" s="60"/>
      <c r="Q53" s="60"/>
      <c r="R53" s="60"/>
      <c r="S53" s="60"/>
      <c r="T53" s="60"/>
      <c r="U53" s="60"/>
      <c r="V53" s="60"/>
      <c r="W53" s="60"/>
      <c r="AO53" s="7">
        <f>ROW()</f>
        <v>53</v>
      </c>
    </row>
    <row r="54" spans="2:41" ht="13.9" customHeight="1" x14ac:dyDescent="0.2">
      <c r="B54" s="9" t="str">
        <f>Summary!B118</f>
        <v>CO2 emissions, millions of metric tons, without carbon tax</v>
      </c>
      <c r="I54" s="105">
        <f t="shared" ref="I54:AL54" si="4">SUM(I55:I59)</f>
        <v>5862.9</v>
      </c>
      <c r="J54" s="105">
        <f t="shared" si="4"/>
        <v>5873.5999999999985</v>
      </c>
      <c r="K54" s="105">
        <f t="shared" si="4"/>
        <v>5884.3000000000011</v>
      </c>
      <c r="L54" s="105">
        <f t="shared" si="4"/>
        <v>5699.5999999999995</v>
      </c>
      <c r="M54" s="105">
        <f t="shared" si="4"/>
        <v>5332.1</v>
      </c>
      <c r="N54" s="105">
        <f t="shared" si="4"/>
        <v>5541.5158982895991</v>
      </c>
      <c r="O54" s="105">
        <f t="shared" si="4"/>
        <v>5541.3096846096032</v>
      </c>
      <c r="P54" s="105">
        <f t="shared" si="4"/>
        <v>5563.8611951701323</v>
      </c>
      <c r="Q54" s="105">
        <f t="shared" si="4"/>
        <v>5606.9083446232671</v>
      </c>
      <c r="R54" s="105">
        <f t="shared" si="4"/>
        <v>5650.2982580446615</v>
      </c>
      <c r="S54" s="105">
        <f t="shared" si="4"/>
        <v>5694.0337496735847</v>
      </c>
      <c r="T54" s="105">
        <f t="shared" si="4"/>
        <v>5738.1176575830541</v>
      </c>
      <c r="U54" s="105">
        <f t="shared" si="4"/>
        <v>5782.5528438877718</v>
      </c>
      <c r="V54" s="105">
        <f t="shared" si="4"/>
        <v>5827.3421949539024</v>
      </c>
      <c r="W54" s="105">
        <f t="shared" si="4"/>
        <v>5872.4886216107579</v>
      </c>
      <c r="X54" s="105">
        <f t="shared" si="4"/>
        <v>5917.995059364358</v>
      </c>
      <c r="Y54" s="105">
        <f t="shared" si="4"/>
        <v>5963.8644686129173</v>
      </c>
      <c r="Z54" s="105">
        <f t="shared" si="4"/>
        <v>6010.0998348642634</v>
      </c>
      <c r="AA54" s="105">
        <f t="shared" si="4"/>
        <v>6056.7041689552116</v>
      </c>
      <c r="AB54" s="105">
        <f t="shared" si="4"/>
        <v>6103.6805072728876</v>
      </c>
      <c r="AC54" s="105">
        <f t="shared" si="4"/>
        <v>6151.0319119780625</v>
      </c>
      <c r="AD54" s="105">
        <f t="shared" si="4"/>
        <v>6198.7614712304721</v>
      </c>
      <c r="AE54" s="105">
        <f t="shared" si="4"/>
        <v>6246.8722994161781</v>
      </c>
      <c r="AF54" s="105">
        <f t="shared" si="4"/>
        <v>6295.3675373769538</v>
      </c>
      <c r="AG54" s="105">
        <f t="shared" si="4"/>
        <v>6344.2503526417368</v>
      </c>
      <c r="AH54" s="105">
        <f t="shared" si="4"/>
        <v>6393.5239396601692</v>
      </c>
      <c r="AI54" s="105">
        <f t="shared" si="4"/>
        <v>6443.1915200382209</v>
      </c>
      <c r="AJ54" s="105">
        <f t="shared" si="4"/>
        <v>6493.2563427759505</v>
      </c>
      <c r="AK54" s="105">
        <f t="shared" si="4"/>
        <v>6543.7216845073754</v>
      </c>
      <c r="AL54" s="105">
        <f t="shared" si="4"/>
        <v>6594.5908497425353</v>
      </c>
      <c r="AM54" s="105"/>
      <c r="AN54" s="105"/>
      <c r="AO54" s="7">
        <f>ROW()</f>
        <v>54</v>
      </c>
    </row>
    <row r="55" spans="2:41" ht="13.9" customHeight="1" x14ac:dyDescent="0.2">
      <c r="B55" s="42" t="str">
        <f>Summary!B119</f>
        <v xml:space="preserve">  from Electricity</v>
      </c>
      <c r="I55" s="20">
        <f>Summary!I119</f>
        <v>2414.2999999999997</v>
      </c>
      <c r="J55" s="20">
        <f>AVERAGE(I55,K55)</f>
        <v>2419.75</v>
      </c>
      <c r="K55" s="20">
        <f>Summary!K119</f>
        <v>2425.1999999999998</v>
      </c>
      <c r="L55" s="20">
        <f>Summary!L119</f>
        <v>2372.6999999999998</v>
      </c>
      <c r="M55" s="20">
        <f>Summary!M119</f>
        <v>2165.9</v>
      </c>
      <c r="N55" s="20">
        <f>Summary!N119</f>
        <v>2271.5808741043061</v>
      </c>
      <c r="O55" s="20">
        <f>Summary!O119</f>
        <v>2278.9503044038092</v>
      </c>
      <c r="P55" s="20">
        <f>Summary!P119</f>
        <v>2286.9897898073041</v>
      </c>
      <c r="Q55" s="20">
        <f>Summary!Q119</f>
        <v>2303.5317026564476</v>
      </c>
      <c r="R55" s="20">
        <f>Summary!R119</f>
        <v>2320.1932639980892</v>
      </c>
      <c r="S55" s="20">
        <f>Summary!S119</f>
        <v>2336.9753392558277</v>
      </c>
      <c r="T55" s="20">
        <f>Summary!T119</f>
        <v>2353.878800112916</v>
      </c>
      <c r="U55" s="20">
        <f>Summary!U119</f>
        <v>2370.9045245575339</v>
      </c>
      <c r="V55" s="20">
        <f>Summary!V119</f>
        <v>2388.0533969283965</v>
      </c>
      <c r="W55" s="20">
        <f>Summary!W119</f>
        <v>2405.3263079606836</v>
      </c>
      <c r="X55" s="20">
        <f>Summary!X119</f>
        <v>2422.7241548323091</v>
      </c>
      <c r="Y55" s="20">
        <f>Summary!Y119</f>
        <v>2440.2478412105188</v>
      </c>
      <c r="Z55" s="20">
        <f>Summary!Z119</f>
        <v>2457.8982772988302</v>
      </c>
      <c r="AA55" s="20">
        <f>Summary!AA119</f>
        <v>2475.676379884309</v>
      </c>
      <c r="AB55" s="20">
        <f>Summary!AB119</f>
        <v>2493.5830723851882</v>
      </c>
      <c r="AC55" s="20">
        <f>Summary!AC119</f>
        <v>2511.6192848988317</v>
      </c>
      <c r="AD55" s="20">
        <f>Summary!AD119</f>
        <v>2529.7859542500419</v>
      </c>
      <c r="AE55" s="20">
        <f>Summary!AE119</f>
        <v>2548.0840240397274</v>
      </c>
      <c r="AF55" s="20">
        <f>Summary!AF119</f>
        <v>2566.5144446939053</v>
      </c>
      <c r="AG55" s="20">
        <f>Summary!AG119</f>
        <v>2585.0781735130763</v>
      </c>
      <c r="AH55" s="20">
        <f>Summary!AH119</f>
        <v>2603.7761747219402</v>
      </c>
      <c r="AI55" s="20">
        <f>Summary!AI119</f>
        <v>2622.6094195194837</v>
      </c>
      <c r="AJ55" s="20">
        <f>Summary!AJ119</f>
        <v>2641.57888612943</v>
      </c>
      <c r="AK55" s="20">
        <f>Summary!AK119</f>
        <v>2660.6855598510342</v>
      </c>
      <c r="AL55" s="20">
        <f>Summary!AL119</f>
        <v>2679.9304331102803</v>
      </c>
      <c r="AM55" s="20"/>
      <c r="AN55" s="20"/>
      <c r="AO55" s="7">
        <f>ROW()</f>
        <v>55</v>
      </c>
    </row>
    <row r="56" spans="2:41" ht="13.9" customHeight="1" x14ac:dyDescent="0.2">
      <c r="B56" s="42" t="str">
        <f>Summary!B120</f>
        <v xml:space="preserve">  from Personal Ground Travel</v>
      </c>
      <c r="I56" s="20">
        <f>Summary!I120</f>
        <v>1284.2521499999996</v>
      </c>
      <c r="J56" s="20">
        <f>AVERAGE(I56,K56)</f>
        <v>1281.0022499999998</v>
      </c>
      <c r="K56" s="20">
        <f>Summary!K120</f>
        <v>1277.75235</v>
      </c>
      <c r="L56" s="20">
        <f>Summary!L120</f>
        <v>1221.7457400000001</v>
      </c>
      <c r="M56" s="20">
        <f>Summary!M120</f>
        <v>1222.8290399999998</v>
      </c>
      <c r="N56" s="20">
        <f>Summary!N120</f>
        <v>1223.5505716150258</v>
      </c>
      <c r="O56" s="20">
        <f>Summary!O120</f>
        <v>1198.404991476141</v>
      </c>
      <c r="P56" s="20">
        <f>Summary!P120</f>
        <v>1202.2254653928378</v>
      </c>
      <c r="Q56" s="20">
        <f>Summary!Q120</f>
        <v>1210.0156560741907</v>
      </c>
      <c r="R56" s="20">
        <f>Summary!R120</f>
        <v>1217.8563256986363</v>
      </c>
      <c r="S56" s="20">
        <f>Summary!S120</f>
        <v>1225.7478013600544</v>
      </c>
      <c r="T56" s="20">
        <f>Summary!T120</f>
        <v>1233.6904122718302</v>
      </c>
      <c r="U56" s="20">
        <f>Summary!U120</f>
        <v>1241.6844897805895</v>
      </c>
      <c r="V56" s="20">
        <f>Summary!V120</f>
        <v>1249.7303673800204</v>
      </c>
      <c r="W56" s="20">
        <f>Summary!W120</f>
        <v>1257.8283807247856</v>
      </c>
      <c r="X56" s="20">
        <f>Summary!X120</f>
        <v>1265.9788676445264</v>
      </c>
      <c r="Y56" s="20">
        <f>Summary!Y120</f>
        <v>1274.1821681579552</v>
      </c>
      <c r="Z56" s="20">
        <f>Summary!Z120</f>
        <v>1282.4386244870404</v>
      </c>
      <c r="AA56" s="20">
        <f>Summary!AA120</f>
        <v>1290.7485810712838</v>
      </c>
      <c r="AB56" s="20">
        <f>Summary!AB120</f>
        <v>1299.1123845820882</v>
      </c>
      <c r="AC56" s="20">
        <f>Summary!AC120</f>
        <v>1307.5303839372216</v>
      </c>
      <c r="AD56" s="20">
        <f>Summary!AD120</f>
        <v>1316.0029303153713</v>
      </c>
      <c r="AE56" s="20">
        <f>Summary!AE120</f>
        <v>1324.5303771707963</v>
      </c>
      <c r="AF56" s="20">
        <f>Summary!AF120</f>
        <v>1333.1130802480711</v>
      </c>
      <c r="AG56" s="20">
        <f>Summary!AG120</f>
        <v>1341.7513975969259</v>
      </c>
      <c r="AH56" s="20">
        <f>Summary!AH120</f>
        <v>1350.4456895871865</v>
      </c>
      <c r="AI56" s="20">
        <f>Summary!AI120</f>
        <v>1359.1963189238043</v>
      </c>
      <c r="AJ56" s="20">
        <f>Summary!AJ120</f>
        <v>1368.0036506619899</v>
      </c>
      <c r="AK56" s="20">
        <f>Summary!AK120</f>
        <v>1376.8680522224424</v>
      </c>
      <c r="AL56" s="20">
        <f>Summary!AL120</f>
        <v>1385.7898934066759</v>
      </c>
      <c r="AM56" s="20"/>
      <c r="AN56" s="20"/>
      <c r="AO56" s="7">
        <f>ROW()</f>
        <v>56</v>
      </c>
    </row>
    <row r="57" spans="2:41" ht="13.9" customHeight="1" x14ac:dyDescent="0.2">
      <c r="B57" s="42" t="str">
        <f>Summary!B121</f>
        <v xml:space="preserve">  from Freight (Goods Movement)</v>
      </c>
      <c r="I57" s="20">
        <f>Summary!I121</f>
        <v>521.5</v>
      </c>
      <c r="J57" s="20">
        <f>AVERAGE(I57,K57)</f>
        <v>535.65000000000009</v>
      </c>
      <c r="K57" s="20">
        <f>Summary!K121</f>
        <v>549.80000000000007</v>
      </c>
      <c r="L57" s="20">
        <f>Summary!L121</f>
        <v>513.19999999999993</v>
      </c>
      <c r="M57" s="20">
        <f>Summary!M121</f>
        <v>455.5</v>
      </c>
      <c r="N57" s="20">
        <f>Summary!N121</f>
        <v>474.65817041087655</v>
      </c>
      <c r="O57" s="20">
        <f>Summary!O121</f>
        <v>485.44201533718496</v>
      </c>
      <c r="P57" s="20">
        <f>Summary!P121</f>
        <v>486.94795283547552</v>
      </c>
      <c r="Q57" s="20">
        <f>Summary!Q121</f>
        <v>490.26210294759522</v>
      </c>
      <c r="R57" s="20">
        <f>Summary!R121</f>
        <v>493.59880904521953</v>
      </c>
      <c r="S57" s="20">
        <f>Summary!S121</f>
        <v>496.95822464356814</v>
      </c>
      <c r="T57" s="20">
        <f>Summary!T121</f>
        <v>500.34050430267934</v>
      </c>
      <c r="U57" s="20">
        <f>Summary!U121</f>
        <v>503.74580363452208</v>
      </c>
      <c r="V57" s="20">
        <f>Summary!V121</f>
        <v>507.17427931015396</v>
      </c>
      <c r="W57" s="20">
        <f>Summary!W121</f>
        <v>510.62608906693077</v>
      </c>
      <c r="X57" s="20">
        <f>Summary!X121</f>
        <v>514.1013917157627</v>
      </c>
      <c r="Y57" s="20">
        <f>Summary!Y121</f>
        <v>517.60034714842141</v>
      </c>
      <c r="Z57" s="20">
        <f>Summary!Z121</f>
        <v>521.12311634489595</v>
      </c>
      <c r="AA57" s="20">
        <f>Summary!AA121</f>
        <v>524.66986138079949</v>
      </c>
      <c r="AB57" s="20">
        <f>Summary!AB121</f>
        <v>528.24074543482595</v>
      </c>
      <c r="AC57" s="20">
        <f>Summary!AC121</f>
        <v>531.83593279625734</v>
      </c>
      <c r="AD57" s="20">
        <f>Summary!AD121</f>
        <v>535.45558887252298</v>
      </c>
      <c r="AE57" s="20">
        <f>Summary!AE121</f>
        <v>539.09988019680873</v>
      </c>
      <c r="AF57" s="20">
        <f>Summary!AF121</f>
        <v>542.76897443571954</v>
      </c>
      <c r="AG57" s="20">
        <f>Summary!AG121</f>
        <v>546.46304039699282</v>
      </c>
      <c r="AH57" s="20">
        <f>Summary!AH121</f>
        <v>550.18224803726571</v>
      </c>
      <c r="AI57" s="20">
        <f>Summary!AI121</f>
        <v>553.92676846989411</v>
      </c>
      <c r="AJ57" s="20">
        <f>Summary!AJ121</f>
        <v>557.69677397282487</v>
      </c>
      <c r="AK57" s="20">
        <f>Summary!AK121</f>
        <v>561.49243799652265</v>
      </c>
      <c r="AL57" s="20">
        <f>Summary!AL121</f>
        <v>565.3139351719492</v>
      </c>
      <c r="AM57" s="20"/>
      <c r="AN57" s="20"/>
      <c r="AO57" s="7">
        <f>ROW()</f>
        <v>57</v>
      </c>
    </row>
    <row r="58" spans="2:41" ht="13.9" customHeight="1" x14ac:dyDescent="0.2">
      <c r="B58" s="42" t="str">
        <f>Summary!B122</f>
        <v xml:space="preserve">  from Aviation</v>
      </c>
      <c r="I58" s="20">
        <f>Summary!I122</f>
        <v>235.20000000000002</v>
      </c>
      <c r="J58" s="20">
        <f>AVERAGE(I58,K58)</f>
        <v>231.89999999999998</v>
      </c>
      <c r="K58" s="20">
        <f>Summary!K122</f>
        <v>228.59999999999997</v>
      </c>
      <c r="L58" s="20">
        <f>Summary!L122</f>
        <v>216.3</v>
      </c>
      <c r="M58" s="20">
        <f>Summary!M122</f>
        <v>195.90000000000003</v>
      </c>
      <c r="N58" s="20">
        <f>Summary!N122</f>
        <v>212.0189694989798</v>
      </c>
      <c r="O58" s="20">
        <f>Summary!O122</f>
        <v>212.33723904600714</v>
      </c>
      <c r="P58" s="20">
        <f>Summary!P122</f>
        <v>212.99217939060156</v>
      </c>
      <c r="Q58" s="20">
        <f>Summary!Q122</f>
        <v>214.70159867293441</v>
      </c>
      <c r="R58" s="20">
        <f>Summary!R122</f>
        <v>216.42473730539157</v>
      </c>
      <c r="S58" s="20">
        <f>Summary!S122</f>
        <v>218.16170539587333</v>
      </c>
      <c r="T58" s="20">
        <f>Summary!T122</f>
        <v>219.91261393597711</v>
      </c>
      <c r="U58" s="20">
        <f>Summary!U122</f>
        <v>221.67757480808953</v>
      </c>
      <c r="V58" s="20">
        <f>Summary!V122</f>
        <v>223.45670079253608</v>
      </c>
      <c r="W58" s="20">
        <f>Summary!W122</f>
        <v>225.2501055747874</v>
      </c>
      <c r="X58" s="20">
        <f>Summary!X122</f>
        <v>227.05790375272383</v>
      </c>
      <c r="Y58" s="20">
        <f>Summary!Y122</f>
        <v>228.88021084395825</v>
      </c>
      <c r="Z58" s="20">
        <f>Summary!Z122</f>
        <v>230.71714329321756</v>
      </c>
      <c r="AA58" s="20">
        <f>Summary!AA122</f>
        <v>232.56881847978343</v>
      </c>
      <c r="AB58" s="20">
        <f>Summary!AB122</f>
        <v>234.43535472499281</v>
      </c>
      <c r="AC58" s="20">
        <f>Summary!AC122</f>
        <v>236.31687129979858</v>
      </c>
      <c r="AD58" s="20">
        <f>Summary!AD122</f>
        <v>238.21348843239105</v>
      </c>
      <c r="AE58" s="20">
        <f>Summary!AE122</f>
        <v>240.12532731588041</v>
      </c>
      <c r="AF58" s="20">
        <f>Summary!AF122</f>
        <v>242.05251011604076</v>
      </c>
      <c r="AG58" s="20">
        <f>Summary!AG122</f>
        <v>243.99515997911678</v>
      </c>
      <c r="AH58" s="20">
        <f>Summary!AH122</f>
        <v>245.95340103969244</v>
      </c>
      <c r="AI58" s="20">
        <f>Summary!AI122</f>
        <v>247.92735842862336</v>
      </c>
      <c r="AJ58" s="20">
        <f>Summary!AJ122</f>
        <v>249.91715828103253</v>
      </c>
      <c r="AK58" s="20">
        <f>Summary!AK122</f>
        <v>251.92292774437024</v>
      </c>
      <c r="AL58" s="20">
        <f>Summary!AL122</f>
        <v>253.94479498653885</v>
      </c>
      <c r="AM58" s="20"/>
      <c r="AN58" s="20"/>
      <c r="AO58" s="7">
        <f>ROW()</f>
        <v>58</v>
      </c>
    </row>
    <row r="59" spans="2:41" ht="13.9" customHeight="1" x14ac:dyDescent="0.2">
      <c r="B59" s="42" t="str">
        <f>Summary!B123</f>
        <v xml:space="preserve">  from "Other"</v>
      </c>
      <c r="I59" s="20">
        <f>Summary!I123</f>
        <v>1407.6478500000001</v>
      </c>
      <c r="J59" s="20">
        <f>AVERAGE(I59,K59)</f>
        <v>1405.2977500000002</v>
      </c>
      <c r="K59" s="20">
        <f>Summary!K123</f>
        <v>1402.9476500000005</v>
      </c>
      <c r="L59" s="20">
        <f>Summary!L123</f>
        <v>1375.6542599999993</v>
      </c>
      <c r="M59" s="20">
        <f>Summary!M123</f>
        <v>1291.9709600000003</v>
      </c>
      <c r="N59" s="20">
        <f>Summary!N123</f>
        <v>1359.7073126604112</v>
      </c>
      <c r="O59" s="20">
        <f>Summary!O123</f>
        <v>1366.1751343464607</v>
      </c>
      <c r="P59" s="20">
        <f>Summary!P123</f>
        <v>1374.7058077439133</v>
      </c>
      <c r="Q59" s="20">
        <f>Summary!Q123</f>
        <v>1388.3972842720991</v>
      </c>
      <c r="R59" s="20">
        <f>Summary!R123</f>
        <v>1402.2251219973252</v>
      </c>
      <c r="S59" s="20">
        <f>Summary!S123</f>
        <v>1416.1906790182609</v>
      </c>
      <c r="T59" s="20">
        <f>Summary!T123</f>
        <v>1430.2953269596524</v>
      </c>
      <c r="U59" s="20">
        <f>Summary!U123</f>
        <v>1444.5404511070365</v>
      </c>
      <c r="V59" s="20">
        <f>Summary!V123</f>
        <v>1458.9274505427961</v>
      </c>
      <c r="W59" s="20">
        <f>Summary!W123</f>
        <v>1473.4577382835705</v>
      </c>
      <c r="X59" s="20">
        <f>Summary!X123</f>
        <v>1488.1327414190353</v>
      </c>
      <c r="Y59" s="20">
        <f>Summary!Y123</f>
        <v>1502.9539012520627</v>
      </c>
      <c r="Z59" s="20">
        <f>Summary!Z123</f>
        <v>1517.9226734402801</v>
      </c>
      <c r="AA59" s="20">
        <f>Summary!AA123</f>
        <v>1533.0405281390363</v>
      </c>
      <c r="AB59" s="20">
        <f>Summary!AB123</f>
        <v>1548.308950145793</v>
      </c>
      <c r="AC59" s="20">
        <f>Summary!AC123</f>
        <v>1563.7294390459535</v>
      </c>
      <c r="AD59" s="20">
        <f>Summary!AD123</f>
        <v>1579.3035093601447</v>
      </c>
      <c r="AE59" s="20">
        <f>Summary!AE123</f>
        <v>1595.0326906929656</v>
      </c>
      <c r="AF59" s="20">
        <f>Summary!AF123</f>
        <v>1610.9185278832165</v>
      </c>
      <c r="AG59" s="20">
        <f>Summary!AG123</f>
        <v>1626.962581155625</v>
      </c>
      <c r="AH59" s="20">
        <f>Summary!AH123</f>
        <v>1643.1664262740844</v>
      </c>
      <c r="AI59" s="20">
        <f>Summary!AI123</f>
        <v>1659.5316546964157</v>
      </c>
      <c r="AJ59" s="20">
        <f>Summary!AJ123</f>
        <v>1676.0598737306732</v>
      </c>
      <c r="AK59" s="20">
        <f>Summary!AK123</f>
        <v>1692.7527066930058</v>
      </c>
      <c r="AL59" s="20">
        <f>Summary!AL123</f>
        <v>1709.6117930670905</v>
      </c>
      <c r="AM59" s="20"/>
      <c r="AN59" s="20"/>
      <c r="AO59" s="7">
        <f>ROW()</f>
        <v>59</v>
      </c>
    </row>
    <row r="60" spans="2:41" ht="13.9" customHeight="1" x14ac:dyDescent="0.2">
      <c r="B60" s="9"/>
      <c r="E60" s="72" t="s">
        <v>111</v>
      </c>
      <c r="F60" s="73"/>
      <c r="I60" s="60"/>
      <c r="J60" s="60"/>
      <c r="K60" s="60"/>
      <c r="L60" s="60"/>
      <c r="M60" s="60"/>
      <c r="N60" s="60"/>
      <c r="O60" s="60"/>
      <c r="P60" s="60"/>
      <c r="Q60" s="60"/>
      <c r="R60" s="60"/>
      <c r="S60" s="60"/>
      <c r="T60" s="60"/>
      <c r="U60" s="60"/>
      <c r="V60" s="60"/>
      <c r="W60" s="60"/>
      <c r="AO60" s="7">
        <f>ROW()</f>
        <v>60</v>
      </c>
    </row>
    <row r="61" spans="2:41" ht="13.9" customHeight="1" x14ac:dyDescent="0.2">
      <c r="B61" s="9" t="s">
        <v>636</v>
      </c>
      <c r="E61" s="368">
        <f>Summary!G118</f>
        <v>2007</v>
      </c>
      <c r="F61" s="368">
        <f>Summary!H118</f>
        <v>2009</v>
      </c>
      <c r="I61" s="60"/>
      <c r="J61" s="60"/>
      <c r="K61" s="60"/>
      <c r="L61" s="60"/>
      <c r="M61" s="60"/>
      <c r="N61" s="60"/>
      <c r="O61" s="60"/>
      <c r="P61" s="60"/>
      <c r="Q61" s="60"/>
      <c r="R61" s="60"/>
      <c r="S61" s="60"/>
      <c r="T61" s="60"/>
      <c r="U61" s="60"/>
      <c r="V61" s="60"/>
      <c r="W61" s="60"/>
      <c r="AO61" s="7">
        <f>ROW()</f>
        <v>61</v>
      </c>
    </row>
    <row r="62" spans="2:41" ht="13.9" customHeight="1" x14ac:dyDescent="0.2">
      <c r="B62" s="42" t="s">
        <v>4</v>
      </c>
      <c r="E62" s="367">
        <f>Summary!G119</f>
        <v>0.41214757915130079</v>
      </c>
      <c r="F62" s="122">
        <f>Summary!H119</f>
        <v>0.406200183792502</v>
      </c>
      <c r="H62" s="342">
        <f>38827/2734388</f>
        <v>1.4199521062848433E-2</v>
      </c>
      <c r="I62" s="31" t="s">
        <v>233</v>
      </c>
      <c r="AO62" s="7">
        <f>ROW()</f>
        <v>62</v>
      </c>
    </row>
    <row r="63" spans="2:41" ht="13.9" customHeight="1" x14ac:dyDescent="0.2">
      <c r="B63" s="42" t="s">
        <v>450</v>
      </c>
      <c r="E63" s="367">
        <f>Summary!G120</f>
        <v>0.21714602416600101</v>
      </c>
      <c r="F63" s="122">
        <f>Summary!H120</f>
        <v>0.22933347836687229</v>
      </c>
      <c r="H63" s="343">
        <v>1</v>
      </c>
      <c r="I63" s="3" t="s">
        <v>16</v>
      </c>
      <c r="AO63" s="7">
        <f>ROW()</f>
        <v>63</v>
      </c>
    </row>
    <row r="64" spans="2:41" ht="13.9" customHeight="1" x14ac:dyDescent="0.2">
      <c r="B64" s="42" t="s">
        <v>296</v>
      </c>
      <c r="E64" s="367">
        <f>Summary!G121</f>
        <v>9.3435072990840029E-2</v>
      </c>
      <c r="F64" s="122">
        <f>Summary!H121</f>
        <v>8.5426004763601571E-2</v>
      </c>
      <c r="H64" s="343">
        <v>1</v>
      </c>
      <c r="I64" s="3" t="s">
        <v>16</v>
      </c>
      <c r="AO64" s="7">
        <f>ROW()</f>
        <v>64</v>
      </c>
    </row>
    <row r="65" spans="2:41" ht="13.9" customHeight="1" x14ac:dyDescent="0.2">
      <c r="B65" s="42" t="s">
        <v>31</v>
      </c>
      <c r="E65" s="367">
        <f>Summary!G122</f>
        <v>3.8849140934350719E-2</v>
      </c>
      <c r="F65" s="122">
        <f>Summary!H122</f>
        <v>3.6739746066277827E-2</v>
      </c>
      <c r="H65" s="343">
        <v>1</v>
      </c>
      <c r="I65" s="3" t="s">
        <v>428</v>
      </c>
      <c r="AO65" s="7">
        <f>ROW()</f>
        <v>65</v>
      </c>
    </row>
    <row r="66" spans="2:41" ht="13.9" customHeight="1" x14ac:dyDescent="0.2">
      <c r="B66" s="42" t="s">
        <v>5</v>
      </c>
      <c r="E66" s="122">
        <f>Summary!G123</f>
        <v>0.23842218275750732</v>
      </c>
      <c r="F66" s="122">
        <f>Summary!H123</f>
        <v>0.24230058701074628</v>
      </c>
      <c r="H66" s="343">
        <v>0.42</v>
      </c>
      <c r="I66" s="3" t="str">
        <f>CONCATENATE("KEA estimate, chosen as figure that causes figures in Row ",AO80," to be such that sum-of-column figures in Row ",AO75, " approximately match total petroleum products consumption rate per year in Monthly Energy Review.")</f>
        <v>KEA estimate, chosen as figure that causes figures in Row 80 to be such that sum-of-column figures in Row 75 approximately match total petroleum products consumption rate per year in Monthly Energy Review.</v>
      </c>
      <c r="J66" s="31"/>
      <c r="K66" s="31"/>
      <c r="L66" s="31"/>
      <c r="M66" s="31"/>
      <c r="N66" s="31"/>
      <c r="O66" s="31"/>
      <c r="P66" s="31"/>
      <c r="Q66" s="31"/>
      <c r="R66" s="31"/>
      <c r="S66" s="31"/>
      <c r="T66" s="31"/>
      <c r="U66" s="31"/>
      <c r="V66" s="31"/>
      <c r="W66" s="31"/>
      <c r="X66" s="31"/>
      <c r="Y66" s="31"/>
      <c r="Z66" s="31"/>
      <c r="AA66" s="31"/>
      <c r="AO66" s="7">
        <f>ROW()</f>
        <v>66</v>
      </c>
    </row>
    <row r="67" spans="2:41" ht="13.9" customHeight="1" x14ac:dyDescent="0.2">
      <c r="B67" s="9"/>
      <c r="H67" s="84"/>
      <c r="I67" s="31"/>
      <c r="J67" s="31"/>
      <c r="K67" s="31"/>
      <c r="L67" s="31"/>
      <c r="M67" s="31"/>
      <c r="N67" s="31"/>
      <c r="O67" s="31"/>
      <c r="P67" s="31"/>
      <c r="Q67" s="31"/>
      <c r="R67" s="31"/>
      <c r="S67" s="31"/>
      <c r="T67" s="31"/>
      <c r="U67" s="31"/>
      <c r="V67" s="31"/>
      <c r="W67" s="31"/>
      <c r="X67" s="31"/>
      <c r="Y67" s="31"/>
      <c r="Z67" s="31"/>
      <c r="AA67" s="31"/>
      <c r="AO67" s="7">
        <f>ROW()</f>
        <v>67</v>
      </c>
    </row>
    <row r="68" spans="2:41" ht="13.9" customHeight="1" x14ac:dyDescent="0.2">
      <c r="B68" s="9" t="s">
        <v>637</v>
      </c>
      <c r="H68" s="84"/>
      <c r="I68" s="370">
        <f t="shared" ref="I68:AL68" si="5">I43</f>
        <v>2005</v>
      </c>
      <c r="J68" s="370">
        <f t="shared" si="5"/>
        <v>2006</v>
      </c>
      <c r="K68" s="370">
        <f t="shared" si="5"/>
        <v>2007</v>
      </c>
      <c r="L68" s="370">
        <f t="shared" si="5"/>
        <v>2008</v>
      </c>
      <c r="M68" s="370">
        <f t="shared" si="5"/>
        <v>2009</v>
      </c>
      <c r="N68" s="370">
        <f t="shared" si="5"/>
        <v>2010</v>
      </c>
      <c r="O68" s="370">
        <f t="shared" si="5"/>
        <v>2011</v>
      </c>
      <c r="P68" s="370">
        <f t="shared" si="5"/>
        <v>2012</v>
      </c>
      <c r="Q68" s="370">
        <f t="shared" si="5"/>
        <v>2013</v>
      </c>
      <c r="R68" s="370">
        <f t="shared" si="5"/>
        <v>2014</v>
      </c>
      <c r="S68" s="370">
        <f t="shared" si="5"/>
        <v>2015</v>
      </c>
      <c r="T68" s="370">
        <f t="shared" si="5"/>
        <v>2016</v>
      </c>
      <c r="U68" s="370">
        <f t="shared" si="5"/>
        <v>2017</v>
      </c>
      <c r="V68" s="370">
        <f t="shared" si="5"/>
        <v>2018</v>
      </c>
      <c r="W68" s="370">
        <f t="shared" si="5"/>
        <v>2019</v>
      </c>
      <c r="X68" s="370">
        <f t="shared" si="5"/>
        <v>2020</v>
      </c>
      <c r="Y68" s="370">
        <f t="shared" si="5"/>
        <v>2021</v>
      </c>
      <c r="Z68" s="370">
        <f t="shared" si="5"/>
        <v>2022</v>
      </c>
      <c r="AA68" s="370">
        <f t="shared" si="5"/>
        <v>2023</v>
      </c>
      <c r="AB68" s="370">
        <f t="shared" si="5"/>
        <v>2024</v>
      </c>
      <c r="AC68" s="370">
        <f t="shared" si="5"/>
        <v>2025</v>
      </c>
      <c r="AD68" s="370">
        <f t="shared" si="5"/>
        <v>2026</v>
      </c>
      <c r="AE68" s="370">
        <f t="shared" si="5"/>
        <v>2027</v>
      </c>
      <c r="AF68" s="370">
        <f t="shared" si="5"/>
        <v>2028</v>
      </c>
      <c r="AG68" s="370">
        <f t="shared" si="5"/>
        <v>2029</v>
      </c>
      <c r="AH68" s="370">
        <f t="shared" si="5"/>
        <v>2030</v>
      </c>
      <c r="AI68" s="370">
        <f t="shared" si="5"/>
        <v>2031</v>
      </c>
      <c r="AJ68" s="370">
        <f t="shared" si="5"/>
        <v>2032</v>
      </c>
      <c r="AK68" s="370">
        <f t="shared" si="5"/>
        <v>2033</v>
      </c>
      <c r="AL68" s="370">
        <f t="shared" si="5"/>
        <v>2034</v>
      </c>
      <c r="AO68" s="7">
        <f>ROW()</f>
        <v>68</v>
      </c>
    </row>
    <row r="69" spans="2:41" ht="13.9" customHeight="1" x14ac:dyDescent="0.2">
      <c r="B69" s="42" t="s">
        <v>17</v>
      </c>
      <c r="H69" s="84"/>
      <c r="I69" s="369">
        <f>$H$62*I55*1000000*Parameters!$J$15*10000/(Electricity!$V$35*1000000000000)</f>
        <v>418.79001475339106</v>
      </c>
      <c r="J69" s="369">
        <f>$H$62*J55*1000000*Parameters!$J$15*10000/(Electricity!$V$35*1000000000000)</f>
        <v>419.73538425196466</v>
      </c>
      <c r="K69" s="369">
        <f>$H$62*K55*1000000*Parameters!$J$15*10000/(Electricity!$V$35*1000000000000)</f>
        <v>420.68075375053814</v>
      </c>
      <c r="L69" s="369">
        <f>$H$62*L55*1000000*Parameters!$J$15*10000/(Electricity!$V$35*1000000000000)</f>
        <v>411.57398335143569</v>
      </c>
      <c r="M69" s="369">
        <f>$H$62*M55*1000000*Parameters!$J$15*10000/(Electricity!$V$35*1000000000000)</f>
        <v>375.70198109363793</v>
      </c>
      <c r="N69" s="369">
        <f>$H$62*N55*1000000*Parameters!$J$15*10000/(Electricity!$V$35*1000000000000)</f>
        <v>394.0336278754354</v>
      </c>
      <c r="O69" s="369">
        <f>$H$62*O55*1000000*Parameters!$J$15*10000/(Electricity!$V$35*1000000000000)</f>
        <v>395.3119461556214</v>
      </c>
      <c r="P69" s="369">
        <f>$H$62*P55*1000000*Parameters!$J$15*10000/(Electricity!$V$35*1000000000000)</f>
        <v>396.70649373079397</v>
      </c>
      <c r="Q69" s="369">
        <f>$H$62*Q55*1000000*Parameters!$J$15*10000/(Electricity!$V$35*1000000000000)</f>
        <v>399.57589186944375</v>
      </c>
      <c r="R69" s="369">
        <f>$H$62*R55*1000000*Parameters!$J$15*10000/(Electricity!$V$35*1000000000000)</f>
        <v>402.46604450999405</v>
      </c>
      <c r="S69" s="369">
        <f>$H$62*S55*1000000*Parameters!$J$15*10000/(Electricity!$V$35*1000000000000)</f>
        <v>405.37710177080709</v>
      </c>
      <c r="T69" s="369">
        <f>$H$62*T55*1000000*Parameters!$J$15*10000/(Electricity!$V$35*1000000000000)</f>
        <v>408.30921485605882</v>
      </c>
      <c r="U69" s="369">
        <f>$H$62*U55*1000000*Parameters!$J$15*10000/(Electricity!$V$35*1000000000000)</f>
        <v>411.26253606359251</v>
      </c>
      <c r="V69" s="369">
        <f>$H$62*V55*1000000*Parameters!$J$15*10000/(Electricity!$V$35*1000000000000)</f>
        <v>414.23721879282982</v>
      </c>
      <c r="W69" s="369">
        <f>$H$62*W55*1000000*Parameters!$J$15*10000/(Electricity!$V$35*1000000000000)</f>
        <v>417.23341755273765</v>
      </c>
      <c r="X69" s="369">
        <f>$H$62*X55*1000000*Parameters!$J$15*10000/(Electricity!$V$35*1000000000000)</f>
        <v>420.25128796985456</v>
      </c>
      <c r="Y69" s="369">
        <f>$H$62*Y55*1000000*Parameters!$J$15*10000/(Electricity!$V$35*1000000000000)</f>
        <v>423.29098679637349</v>
      </c>
      <c r="Z69" s="369">
        <f>$H$62*Z55*1000000*Parameters!$J$15*10000/(Electricity!$V$35*1000000000000)</f>
        <v>426.35267191828359</v>
      </c>
      <c r="AA69" s="369">
        <f>$H$62*AA55*1000000*Parameters!$J$15*10000/(Electricity!$V$35*1000000000000)</f>
        <v>429.43650236357195</v>
      </c>
      <c r="AB69" s="369">
        <f>$H$62*AB55*1000000*Parameters!$J$15*10000/(Electricity!$V$35*1000000000000)</f>
        <v>432.54263831048308</v>
      </c>
      <c r="AC69" s="369">
        <f>$H$62*AC55*1000000*Parameters!$J$15*10000/(Electricity!$V$35*1000000000000)</f>
        <v>435.67124109583881</v>
      </c>
      <c r="AD69" s="369">
        <f>$H$62*AD55*1000000*Parameters!$J$15*10000/(Electricity!$V$35*1000000000000)</f>
        <v>438.82247322341755</v>
      </c>
      <c r="AE69" s="369">
        <f>$H$62*AE55*1000000*Parameters!$J$15*10000/(Electricity!$V$35*1000000000000)</f>
        <v>441.9964983723969</v>
      </c>
      <c r="AF69" s="369">
        <f>$H$62*AF55*1000000*Parameters!$J$15*10000/(Electricity!$V$35*1000000000000)</f>
        <v>445.19348140585362</v>
      </c>
      <c r="AG69" s="369">
        <f>$H$62*AG55*1000000*Parameters!$J$15*10000/(Electricity!$V$35*1000000000000)</f>
        <v>448.41358837932762</v>
      </c>
      <c r="AH69" s="369">
        <f>$H$62*AH55*1000000*Parameters!$J$15*10000/(Electricity!$V$35*1000000000000)</f>
        <v>451.65698654944697</v>
      </c>
      <c r="AI69" s="369">
        <f>$H$62*AI55*1000000*Parameters!$J$15*10000/(Electricity!$V$35*1000000000000)</f>
        <v>454.92384438261502</v>
      </c>
      <c r="AJ69" s="369">
        <f>$H$62*AJ55*1000000*Parameters!$J$15*10000/(Electricity!$V$35*1000000000000)</f>
        <v>458.21433156376207</v>
      </c>
      <c r="AK69" s="369">
        <f>$H$62*AK55*1000000*Parameters!$J$15*10000/(Electricity!$V$35*1000000000000)</f>
        <v>461.52861900515649</v>
      </c>
      <c r="AL69" s="369">
        <f>$H$62*AL55*1000000*Parameters!$J$15*10000/(Electricity!$V$35*1000000000000)</f>
        <v>464.86687885528573</v>
      </c>
      <c r="AM69" s="369"/>
      <c r="AN69" s="369"/>
      <c r="AO69" s="7">
        <f>ROW()</f>
        <v>69</v>
      </c>
    </row>
    <row r="70" spans="2:41" ht="13.9" customHeight="1" x14ac:dyDescent="0.2">
      <c r="B70" s="42" t="s">
        <v>450</v>
      </c>
      <c r="H70" s="84"/>
      <c r="I70" s="369">
        <f>$H$63*I56/('Personal Ground Travel'!$K$25*Parameters!$J$17)*'Personal Ground Travel'!$K$22</f>
        <v>18094.316891565675</v>
      </c>
      <c r="J70" s="369">
        <f>$H$63*J56/('Personal Ground Travel'!$K$25*Parameters!$J$17)*'Personal Ground Travel'!$K$22</f>
        <v>18048.527814657456</v>
      </c>
      <c r="K70" s="369">
        <f>$H$63*K56/('Personal Ground Travel'!$K$25*Parameters!$J$17)*'Personal Ground Travel'!$K$22</f>
        <v>18002.738737749238</v>
      </c>
      <c r="L70" s="369">
        <f>$H$63*L56/('Personal Ground Travel'!$K$25*Parameters!$J$17)*'Personal Ground Travel'!$K$22</f>
        <v>17213.640312364216</v>
      </c>
      <c r="M70" s="369">
        <f>$H$63*M56/('Personal Ground Travel'!$K$25*Parameters!$J$17)*'Personal Ground Travel'!$K$22</f>
        <v>17228.903338000284</v>
      </c>
      <c r="N70" s="369">
        <f>$H$63*N56/('Personal Ground Travel'!$K$25*Parameters!$J$17)*'Personal Ground Travel'!$K$22</f>
        <v>17239.069271294276</v>
      </c>
      <c r="O70" s="369">
        <f>$H$63*O56/('Personal Ground Travel'!$K$25*Parameters!$J$17)*'Personal Ground Travel'!$K$22</f>
        <v>16884.783630849572</v>
      </c>
      <c r="P70" s="369">
        <f>$H$63*P56/('Personal Ground Travel'!$K$25*Parameters!$J$17)*'Personal Ground Travel'!$K$22</f>
        <v>16938.611740636788</v>
      </c>
      <c r="Q70" s="369">
        <f>$H$63*Q56/('Personal Ground Travel'!$K$25*Parameters!$J$17)*'Personal Ground Travel'!$K$22</f>
        <v>17048.37069944727</v>
      </c>
      <c r="R70" s="369">
        <f>$H$63*R56/('Personal Ground Travel'!$K$25*Parameters!$J$17)*'Personal Ground Travel'!$K$22</f>
        <v>17158.840875282123</v>
      </c>
      <c r="S70" s="369">
        <f>$H$63*S56/('Personal Ground Travel'!$K$25*Parameters!$J$17)*'Personal Ground Travel'!$K$22</f>
        <v>17270.026876691409</v>
      </c>
      <c r="T70" s="369">
        <f>$H$63*T56/('Personal Ground Travel'!$K$25*Parameters!$J$17)*'Personal Ground Travel'!$K$22</f>
        <v>17381.933342087694</v>
      </c>
      <c r="U70" s="369">
        <f>$H$63*U56/('Personal Ground Travel'!$K$25*Parameters!$J$17)*'Personal Ground Travel'!$K$22</f>
        <v>17494.564939939588</v>
      </c>
      <c r="V70" s="369">
        <f>$H$63*V56/('Personal Ground Travel'!$K$25*Parameters!$J$17)*'Personal Ground Travel'!$K$22</f>
        <v>17607.926368966477</v>
      </c>
      <c r="W70" s="369">
        <f>$H$63*W56/('Personal Ground Travel'!$K$25*Parameters!$J$17)*'Personal Ground Travel'!$K$22</f>
        <v>17722.022358334536</v>
      </c>
      <c r="X70" s="369">
        <f>$H$63*X56/('Personal Ground Travel'!$K$25*Parameters!$J$17)*'Personal Ground Travel'!$K$22</f>
        <v>17836.857667854048</v>
      </c>
      <c r="Y70" s="369">
        <f>$H$63*Y56/('Personal Ground Travel'!$K$25*Parameters!$J$17)*'Personal Ground Travel'!$K$22</f>
        <v>17952.43708817795</v>
      </c>
      <c r="Z70" s="369">
        <f>$H$63*Z56/('Personal Ground Travel'!$K$25*Parameters!$J$17)*'Personal Ground Travel'!$K$22</f>
        <v>18068.765441001688</v>
      </c>
      <c r="AA70" s="369">
        <f>$H$63*AA56/('Personal Ground Travel'!$K$25*Parameters!$J$17)*'Personal Ground Travel'!$K$22</f>
        <v>18185.847579264369</v>
      </c>
      <c r="AB70" s="369">
        <f>$H$63*AB56/('Personal Ground Travel'!$K$25*Parameters!$J$17)*'Personal Ground Travel'!$K$22</f>
        <v>18303.688387351231</v>
      </c>
      <c r="AC70" s="369">
        <f>$H$63*AC56/('Personal Ground Travel'!$K$25*Parameters!$J$17)*'Personal Ground Travel'!$K$22</f>
        <v>18422.292781297372</v>
      </c>
      <c r="AD70" s="369">
        <f>$H$63*AD56/('Personal Ground Travel'!$K$25*Parameters!$J$17)*'Personal Ground Travel'!$K$22</f>
        <v>18541.665708992863</v>
      </c>
      <c r="AE70" s="369">
        <f>$H$63*AE56/('Personal Ground Travel'!$K$25*Parameters!$J$17)*'Personal Ground Travel'!$K$22</f>
        <v>18661.812150389163</v>
      </c>
      <c r="AF70" s="369">
        <f>$H$63*AF56/('Personal Ground Travel'!$K$25*Parameters!$J$17)*'Personal Ground Travel'!$K$22</f>
        <v>18782.737117706853</v>
      </c>
      <c r="AG70" s="369">
        <f>$H$63*AG56/('Personal Ground Travel'!$K$25*Parameters!$J$17)*'Personal Ground Travel'!$K$22</f>
        <v>18904.445655644744</v>
      </c>
      <c r="AH70" s="369">
        <f>$H$63*AH56/('Personal Ground Travel'!$K$25*Parameters!$J$17)*'Personal Ground Travel'!$K$22</f>
        <v>19026.942841590335</v>
      </c>
      <c r="AI70" s="369">
        <f>$H$63*AI56/('Personal Ground Travel'!$K$25*Parameters!$J$17)*'Personal Ground Travel'!$K$22</f>
        <v>19150.233785831613</v>
      </c>
      <c r="AJ70" s="369">
        <f>$H$63*AJ56/('Personal Ground Travel'!$K$25*Parameters!$J$17)*'Personal Ground Travel'!$K$22</f>
        <v>19274.323631770258</v>
      </c>
      <c r="AK70" s="369">
        <f>$H$63*AK56/('Personal Ground Travel'!$K$25*Parameters!$J$17)*'Personal Ground Travel'!$K$22</f>
        <v>19399.217556136216</v>
      </c>
      <c r="AL70" s="369">
        <f>$H$63*AL56/('Personal Ground Travel'!$K$25*Parameters!$J$17)*'Personal Ground Travel'!$K$22</f>
        <v>19524.920769203636</v>
      </c>
      <c r="AM70" s="369"/>
      <c r="AN70" s="369"/>
      <c r="AO70" s="7">
        <f>ROW()</f>
        <v>70</v>
      </c>
    </row>
    <row r="71" spans="2:41" ht="13.9" customHeight="1" x14ac:dyDescent="0.2">
      <c r="B71" s="42" t="s">
        <v>296</v>
      </c>
      <c r="H71" s="84"/>
      <c r="I71" s="369">
        <f>$H$64*I57/(Freight!$K$25*Parameters!$J$17)*Freight!$K$22</f>
        <v>7100.6364945349824</v>
      </c>
      <c r="J71" s="369">
        <f>$H$64*J57/(Freight!$K$25*Parameters!$J$17)*Freight!$K$22</f>
        <v>7293.2999775602375</v>
      </c>
      <c r="K71" s="369">
        <f>$H$64*K57/(Freight!$K$25*Parameters!$J$17)*Freight!$K$22</f>
        <v>7485.9634605854917</v>
      </c>
      <c r="L71" s="369">
        <f>$H$64*L57/(Freight!$K$25*Parameters!$J$17)*Freight!$K$22</f>
        <v>6987.6254055519703</v>
      </c>
      <c r="M71" s="369">
        <f>$H$64*M57/(Freight!$K$25*Parameters!$J$17)*Freight!$K$22</f>
        <v>6201.9941002122423</v>
      </c>
      <c r="N71" s="369">
        <f>$H$64*N57/(Freight!$K$25*Parameters!$J$17)*Freight!$K$22</f>
        <v>6462.8477991345635</v>
      </c>
      <c r="O71" s="369">
        <f>$H$64*O57/(Freight!$K$25*Parameters!$J$17)*Freight!$K$22</f>
        <v>6609.6784085979407</v>
      </c>
      <c r="P71" s="369">
        <f>$H$64*P57/(Freight!$K$25*Parameters!$J$17)*Freight!$K$22</f>
        <v>6630.1829431307324</v>
      </c>
      <c r="Q71" s="369">
        <f>$H$64*Q57/(Freight!$K$25*Parameters!$J$17)*Freight!$K$22</f>
        <v>6675.3077278564933</v>
      </c>
      <c r="R71" s="369">
        <f>$H$64*R57/(Freight!$K$25*Parameters!$J$17)*Freight!$K$22</f>
        <v>6720.7396302310444</v>
      </c>
      <c r="S71" s="369">
        <f>$H$64*S57/(Freight!$K$25*Parameters!$J$17)*Freight!$K$22</f>
        <v>6766.4807404859712</v>
      </c>
      <c r="T71" s="369">
        <f>$H$64*T57/(Freight!$K$25*Parameters!$J$17)*Freight!$K$22</f>
        <v>6812.5331630788924</v>
      </c>
      <c r="U71" s="369">
        <f>$H$64*U57/(Freight!$K$25*Parameters!$J$17)*Freight!$K$22</f>
        <v>6858.8990167902975</v>
      </c>
      <c r="V71" s="369">
        <f>$H$64*V57/(Freight!$K$25*Parameters!$J$17)*Freight!$K$22</f>
        <v>6905.5804348210122</v>
      </c>
      <c r="W71" s="369">
        <f>$H$64*W57/(Freight!$K$25*Parameters!$J$17)*Freight!$K$22</f>
        <v>6952.5795648903522</v>
      </c>
      <c r="X71" s="369">
        <f>$H$64*X57/(Freight!$K$25*Parameters!$J$17)*Freight!$K$22</f>
        <v>6999.8985693349359</v>
      </c>
      <c r="Y71" s="369">
        <f>$H$64*Y57/(Freight!$K$25*Parameters!$J$17)*Freight!$K$22</f>
        <v>7047.5396252081628</v>
      </c>
      <c r="Z71" s="369">
        <f>$H$64*Z57/(Freight!$K$25*Parameters!$J$17)*Freight!$K$22</f>
        <v>7095.5049243803796</v>
      </c>
      <c r="AA71" s="369">
        <f>$H$64*AA57/(Freight!$K$25*Parameters!$J$17)*Freight!$K$22</f>
        <v>7143.7966736397229</v>
      </c>
      <c r="AB71" s="369">
        <f>$H$64*AB57/(Freight!$K$25*Parameters!$J$17)*Freight!$K$22</f>
        <v>7192.41709479365</v>
      </c>
      <c r="AC71" s="369">
        <f>$H$64*AC57/(Freight!$K$25*Parameters!$J$17)*Freight!$K$22</f>
        <v>7241.3684247711581</v>
      </c>
      <c r="AD71" s="369">
        <f>$H$64*AD57/(Freight!$K$25*Parameters!$J$17)*Freight!$K$22</f>
        <v>7290.6529157257064</v>
      </c>
      <c r="AE71" s="369">
        <f>$H$64*AE57/(Freight!$K$25*Parameters!$J$17)*Freight!$K$22</f>
        <v>7340.2728351388241</v>
      </c>
      <c r="AF71" s="369">
        <f>$H$64*AF57/(Freight!$K$25*Parameters!$J$17)*Freight!$K$22</f>
        <v>7390.2304659244392</v>
      </c>
      <c r="AG71" s="369">
        <f>$H$64*AG57/(Freight!$K$25*Parameters!$J$17)*Freight!$K$22</f>
        <v>7440.5281065339059</v>
      </c>
      <c r="AH71" s="369">
        <f>$H$64*AH57/(Freight!$K$25*Parameters!$J$17)*Freight!$K$22</f>
        <v>7491.1680710617575</v>
      </c>
      <c r="AI71" s="369">
        <f>$H$64*AI57/(Freight!$K$25*Parameters!$J$17)*Freight!$K$22</f>
        <v>7542.152689352175</v>
      </c>
      <c r="AJ71" s="369">
        <f>$H$64*AJ57/(Freight!$K$25*Parameters!$J$17)*Freight!$K$22</f>
        <v>7593.4843071061696</v>
      </c>
      <c r="AK71" s="369">
        <f>$H$64*AK57/(Freight!$K$25*Parameters!$J$17)*Freight!$K$22</f>
        <v>7645.1652859895094</v>
      </c>
      <c r="AL71" s="369">
        <f>$H$64*AL57/(Freight!$K$25*Parameters!$J$17)*Freight!$K$22</f>
        <v>7697.1980037413714</v>
      </c>
      <c r="AM71" s="369"/>
      <c r="AN71" s="369"/>
      <c r="AO71" s="7">
        <f>ROW()</f>
        <v>71</v>
      </c>
    </row>
    <row r="72" spans="2:41" ht="13.9" customHeight="1" x14ac:dyDescent="0.2">
      <c r="B72" s="42" t="s">
        <v>31</v>
      </c>
      <c r="H72" s="84"/>
      <c r="I72" s="369">
        <f>$H$65*I58/(Aviation!$K$25*Parameters!$J$17)*Aviation!$K$22</f>
        <v>3317.8683385579939</v>
      </c>
      <c r="J72" s="369">
        <f>$H$65*J58/(Aviation!$K$25*Parameters!$J$17)*Aviation!$K$22</f>
        <v>3271.3166144200623</v>
      </c>
      <c r="K72" s="369">
        <f>$H$65*K58/(Aviation!$K$25*Parameters!$J$17)*Aviation!$K$22</f>
        <v>3224.7648902821311</v>
      </c>
      <c r="L72" s="369">
        <f>$H$65*L58/(Aviation!$K$25*Parameters!$J$17)*Aviation!$K$22</f>
        <v>3051.253918495298</v>
      </c>
      <c r="M72" s="369">
        <f>$H$65*M58/(Aviation!$K$25*Parameters!$J$17)*Aviation!$K$22</f>
        <v>2763.4796238244517</v>
      </c>
      <c r="N72" s="369">
        <f>$H$65*N58/(Aviation!$K$25*Parameters!$J$17)*Aviation!$K$22</f>
        <v>2990.863206098461</v>
      </c>
      <c r="O72" s="369">
        <f>$H$65*O58/(Aviation!$K$25*Parameters!$J$17)*Aviation!$K$22</f>
        <v>2995.352901902922</v>
      </c>
      <c r="P72" s="369">
        <f>$H$65*P58/(Aviation!$K$25*Parameters!$J$17)*Aviation!$K$22</f>
        <v>3004.5918722812135</v>
      </c>
      <c r="Q72" s="369">
        <f>$H$65*Q58/(Aviation!$K$25*Parameters!$J$17)*Aviation!$K$22</f>
        <v>3028.7059373924917</v>
      </c>
      <c r="R72" s="369">
        <f>$H$65*R58/(Aviation!$K$25*Parameters!$J$17)*Aviation!$K$22</f>
        <v>3053.013535655994</v>
      </c>
      <c r="S72" s="369">
        <f>$H$65*S58/(Aviation!$K$25*Parameters!$J$17)*Aviation!$K$22</f>
        <v>3077.5162203179625</v>
      </c>
      <c r="T72" s="369">
        <f>$H$65*T58/(Aviation!$K$25*Parameters!$J$17)*Aviation!$K$22</f>
        <v>3102.2155570905861</v>
      </c>
      <c r="U72" s="369">
        <f>$H$65*U58/(Aviation!$K$25*Parameters!$J$17)*Aviation!$K$22</f>
        <v>3127.1131242520464</v>
      </c>
      <c r="V72" s="369">
        <f>$H$65*V58/(Aviation!$K$25*Parameters!$J$17)*Aviation!$K$22</f>
        <v>3152.2105127473742</v>
      </c>
      <c r="W72" s="369">
        <f>$H$65*W58/(Aviation!$K$25*Parameters!$J$17)*Aviation!$K$22</f>
        <v>3177.5093262901046</v>
      </c>
      <c r="X72" s="369">
        <f>$H$65*X58/(Aviation!$K$25*Parameters!$J$17)*Aviation!$K$22</f>
        <v>3203.0111814647562</v>
      </c>
      <c r="Y72" s="369">
        <f>$H$65*Y58/(Aviation!$K$25*Parameters!$J$17)*Aviation!$K$22</f>
        <v>3228.717707830132</v>
      </c>
      <c r="Z72" s="369">
        <f>$H$65*Z58/(Aviation!$K$25*Parameters!$J$17)*Aviation!$K$22</f>
        <v>3254.6305480234455</v>
      </c>
      <c r="AA72" s="369">
        <f>$H$65*AA58/(Aviation!$K$25*Parameters!$J$17)*Aviation!$K$22</f>
        <v>3280.7513578652834</v>
      </c>
      <c r="AB72" s="369">
        <f>$H$65*AB58/(Aviation!$K$25*Parameters!$J$17)*Aviation!$K$22</f>
        <v>3307.0818064654159</v>
      </c>
      <c r="AC72" s="369">
        <f>$H$65*AC58/(Aviation!$K$25*Parameters!$J$17)*Aviation!$K$22</f>
        <v>3333.6235763294467</v>
      </c>
      <c r="AD72" s="369">
        <f>$H$65*AD58/(Aviation!$K$25*Parameters!$J$17)*Aviation!$K$22</f>
        <v>3360.3783634663314</v>
      </c>
      <c r="AE72" s="369">
        <f>$H$65*AE58/(Aviation!$K$25*Parameters!$J$17)*Aviation!$K$22</f>
        <v>3387.3478774967457</v>
      </c>
      <c r="AF72" s="369">
        <f>$H$65*AF58/(Aviation!$K$25*Parameters!$J$17)*Aviation!$K$22</f>
        <v>3414.5338417623307</v>
      </c>
      <c r="AG72" s="369">
        <f>$H$65*AG58/(Aviation!$K$25*Parameters!$J$17)*Aviation!$K$22</f>
        <v>3441.9379934358167</v>
      </c>
      <c r="AH72" s="369">
        <f>$H$65*AH58/(Aviation!$K$25*Parameters!$J$17)*Aviation!$K$22</f>
        <v>3469.562083632025</v>
      </c>
      <c r="AI72" s="369">
        <f>$H$65*AI58/(Aviation!$K$25*Parameters!$J$17)*Aviation!$K$22</f>
        <v>3497.4078775197654</v>
      </c>
      <c r="AJ72" s="369">
        <f>$H$65*AJ58/(Aviation!$K$25*Parameters!$J$17)*Aviation!$K$22</f>
        <v>3525.4771544346281</v>
      </c>
      <c r="AK72" s="369">
        <f>$H$65*AK58/(Aviation!$K$25*Parameters!$J$17)*Aviation!$K$22</f>
        <v>3553.7717079926838</v>
      </c>
      <c r="AL72" s="369">
        <f>$H$65*AL58/(Aviation!$K$25*Parameters!$J$17)*Aviation!$K$22</f>
        <v>3582.2933462050933</v>
      </c>
      <c r="AM72" s="369"/>
      <c r="AN72" s="369"/>
      <c r="AO72" s="7">
        <f>ROW()</f>
        <v>72</v>
      </c>
    </row>
    <row r="73" spans="2:41" ht="13.9" customHeight="1" x14ac:dyDescent="0.2">
      <c r="B73" s="42" t="s">
        <v>35</v>
      </c>
      <c r="H73" s="84"/>
      <c r="I73" s="369">
        <f>$H$66*I59/('Personal Ground Travel'!$K$25*Parameters!$J$17)*'Personal Ground Travel'!$K$22</f>
        <v>8329.8120491720165</v>
      </c>
      <c r="J73" s="369">
        <f>$H$66*J59/('Personal Ground Travel'!$K$25*Parameters!$J$17)*'Personal Ground Travel'!$K$22</f>
        <v>8315.9052391010464</v>
      </c>
      <c r="K73" s="369">
        <f>$H$66*K59/('Personal Ground Travel'!$K$25*Parameters!$J$17)*'Personal Ground Travel'!$K$22</f>
        <v>8301.9984290300818</v>
      </c>
      <c r="L73" s="369">
        <f>$H$66*L59/('Personal Ground Travel'!$K$25*Parameters!$J$17)*'Personal Ground Travel'!$K$22</f>
        <v>8140.4887099019888</v>
      </c>
      <c r="M73" s="369">
        <f>$H$66*M59/('Personal Ground Travel'!$K$25*Parameters!$J$17)*'Personal Ground Travel'!$K$22</f>
        <v>7645.2894591416034</v>
      </c>
      <c r="N73" s="369">
        <f>$H$66*N59/('Personal Ground Travel'!$K$25*Parameters!$J$17)*'Personal Ground Travel'!$K$22</f>
        <v>8046.122015776883</v>
      </c>
      <c r="O73" s="369">
        <f>$H$66*O59/('Personal Ground Travel'!$K$25*Parameters!$J$17)*'Personal Ground Travel'!$K$22</f>
        <v>8084.395607437149</v>
      </c>
      <c r="P73" s="369">
        <f>$H$66*P59/('Personal Ground Travel'!$K$25*Parameters!$J$17)*'Personal Ground Travel'!$K$22</f>
        <v>8134.8762060141662</v>
      </c>
      <c r="Q73" s="369">
        <f>$H$66*Q59/('Personal Ground Travel'!$K$25*Parameters!$J$17)*'Personal Ground Travel'!$K$22</f>
        <v>8215.8960620494945</v>
      </c>
      <c r="R73" s="369">
        <f>$H$66*R59/('Personal Ground Travel'!$K$25*Parameters!$J$17)*'Personal Ground Travel'!$K$22</f>
        <v>8297.7228408831234</v>
      </c>
      <c r="S73" s="369">
        <f>$H$66*S59/('Personal Ground Travel'!$K$25*Parameters!$J$17)*'Personal Ground Travel'!$K$22</f>
        <v>8380.3645791178606</v>
      </c>
      <c r="T73" s="369">
        <f>$H$66*T59/('Personal Ground Travel'!$K$25*Parameters!$J$17)*'Personal Ground Travel'!$K$22</f>
        <v>8463.8293933976038</v>
      </c>
      <c r="U73" s="369">
        <f>$H$66*U59/('Personal Ground Travel'!$K$25*Parameters!$J$17)*'Personal Ground Travel'!$K$22</f>
        <v>8548.1254812045318</v>
      </c>
      <c r="V73" s="369">
        <f>$H$66*V59/('Personal Ground Travel'!$K$25*Parameters!$J$17)*'Personal Ground Travel'!$K$22</f>
        <v>8633.2611216641963</v>
      </c>
      <c r="W73" s="369">
        <f>$H$66*W59/('Personal Ground Travel'!$K$25*Parameters!$J$17)*'Personal Ground Travel'!$K$22</f>
        <v>8719.244676358674</v>
      </c>
      <c r="X73" s="369">
        <f>$H$66*X59/('Personal Ground Travel'!$K$25*Parameters!$J$17)*'Personal Ground Travel'!$K$22</f>
        <v>8806.0845901477878</v>
      </c>
      <c r="Y73" s="369">
        <f>$H$66*Y59/('Personal Ground Travel'!$K$25*Parameters!$J$17)*'Personal Ground Travel'!$K$22</f>
        <v>8893.7893919985181</v>
      </c>
      <c r="Z73" s="369">
        <f>$H$66*Z59/('Personal Ground Travel'!$K$25*Parameters!$J$17)*'Personal Ground Travel'!$K$22</f>
        <v>8982.367695822677</v>
      </c>
      <c r="AA73" s="369">
        <f>$H$66*AA59/('Personal Ground Travel'!$K$25*Parameters!$J$17)*'Personal Ground Travel'!$K$22</f>
        <v>9071.82820132292</v>
      </c>
      <c r="AB73" s="369">
        <f>$H$66*AB59/('Personal Ground Travel'!$K$25*Parameters!$J$17)*'Personal Ground Travel'!$K$22</f>
        <v>9162.1796948471874</v>
      </c>
      <c r="AC73" s="369">
        <f>$H$66*AC59/('Personal Ground Travel'!$K$25*Parameters!$J$17)*'Personal Ground Travel'!$K$22</f>
        <v>9253.4310502516528</v>
      </c>
      <c r="AD73" s="369">
        <f>$H$66*AD59/('Personal Ground Travel'!$K$25*Parameters!$J$17)*'Personal Ground Travel'!$K$22</f>
        <v>9345.5912297722662</v>
      </c>
      <c r="AE73" s="369">
        <f>$H$66*AE59/('Personal Ground Travel'!$K$25*Parameters!$J$17)*'Personal Ground Travel'!$K$22</f>
        <v>9438.6692849049778</v>
      </c>
      <c r="AF73" s="369">
        <f>$H$66*AF59/('Personal Ground Travel'!$K$25*Parameters!$J$17)*'Personal Ground Travel'!$K$22</f>
        <v>9532.6743572947325</v>
      </c>
      <c r="AG73" s="369">
        <f>$H$66*AG59/('Personal Ground Travel'!$K$25*Parameters!$J$17)*'Personal Ground Travel'!$K$22</f>
        <v>9627.615679633318</v>
      </c>
      <c r="AH73" s="369">
        <f>$H$66*AH59/('Personal Ground Travel'!$K$25*Parameters!$J$17)*'Personal Ground Travel'!$K$22</f>
        <v>9723.5025765661412</v>
      </c>
      <c r="AI73" s="369">
        <f>$H$66*AI59/('Personal Ground Travel'!$K$25*Parameters!$J$17)*'Personal Ground Travel'!$K$22</f>
        <v>9820.3444656080555</v>
      </c>
      <c r="AJ73" s="369">
        <f>$H$66*AJ59/('Personal Ground Travel'!$K$25*Parameters!$J$17)*'Personal Ground Travel'!$K$22</f>
        <v>9918.1508580682948</v>
      </c>
      <c r="AK73" s="369">
        <f>$H$66*AK59/('Personal Ground Travel'!$K$25*Parameters!$J$17)*'Personal Ground Travel'!$K$22</f>
        <v>10016.931359984634</v>
      </c>
      <c r="AL73" s="369">
        <f>$H$66*AL59/('Personal Ground Travel'!$K$25*Parameters!$J$17)*'Personal Ground Travel'!$K$22</f>
        <v>10116.69567306683</v>
      </c>
      <c r="AM73" s="369"/>
      <c r="AN73" s="369"/>
      <c r="AO73" s="7">
        <f>ROW()</f>
        <v>73</v>
      </c>
    </row>
    <row r="74" spans="2:41" ht="13.9" customHeight="1" x14ac:dyDescent="0.2">
      <c r="B74" s="9"/>
      <c r="H74" s="84"/>
      <c r="I74" s="351"/>
      <c r="J74" s="351"/>
      <c r="K74" s="351"/>
      <c r="M74" s="351"/>
      <c r="N74" s="351"/>
      <c r="O74" s="351"/>
      <c r="P74" s="351"/>
      <c r="Q74" s="351"/>
      <c r="R74" s="351"/>
      <c r="S74" s="351"/>
      <c r="T74" s="351"/>
      <c r="U74" s="351"/>
      <c r="V74" s="351"/>
      <c r="W74" s="351"/>
      <c r="X74" s="351"/>
      <c r="Y74" s="351"/>
      <c r="Z74" s="351"/>
      <c r="AA74" s="351"/>
      <c r="AO74" s="7">
        <f>ROW()</f>
        <v>74</v>
      </c>
    </row>
    <row r="75" spans="2:41" ht="13.9" customHeight="1" x14ac:dyDescent="0.2">
      <c r="B75" s="9" t="s">
        <v>638</v>
      </c>
      <c r="H75" s="84"/>
      <c r="I75" s="27">
        <f>SUM(I76:I80)</f>
        <v>20275.414164397465</v>
      </c>
      <c r="J75" s="27">
        <f>SUM(J76:J80)</f>
        <v>20310.541796050304</v>
      </c>
      <c r="K75" s="27">
        <f>SUM(K76:K80)</f>
        <v>20345.669427703146</v>
      </c>
      <c r="L75" s="27">
        <f>SUM(L76:L80)</f>
        <v>19501.139827015551</v>
      </c>
      <c r="M75" s="27">
        <f>SUM(M76:M80)</f>
        <v>18645.204131471633</v>
      </c>
      <c r="N75" s="27">
        <f t="shared" ref="N75:AL75" si="6">SUM(N76:N80)</f>
        <v>19165.946661645201</v>
      </c>
      <c r="O75" s="27">
        <f t="shared" si="6"/>
        <v>19079.198832002687</v>
      </c>
      <c r="P75" s="27">
        <f t="shared" si="6"/>
        <v>19156.602481000806</v>
      </c>
      <c r="Q75" s="27">
        <f t="shared" si="6"/>
        <v>19303.531670760931</v>
      </c>
      <c r="R75" s="27">
        <f t="shared" si="6"/>
        <v>19451.632084064204</v>
      </c>
      <c r="S75" s="27">
        <f t="shared" si="6"/>
        <v>19600.913433586789</v>
      </c>
      <c r="T75" s="27">
        <f t="shared" si="6"/>
        <v>19751.385515641985</v>
      </c>
      <c r="U75" s="27">
        <f t="shared" si="6"/>
        <v>19903.058210924963</v>
      </c>
      <c r="V75" s="27">
        <f t="shared" si="6"/>
        <v>20055.941485264313</v>
      </c>
      <c r="W75" s="27">
        <f t="shared" si="6"/>
        <v>20210.045390380474</v>
      </c>
      <c r="X75" s="27">
        <f t="shared" si="6"/>
        <v>20365.380064651144</v>
      </c>
      <c r="Y75" s="27">
        <f t="shared" si="6"/>
        <v>20521.955733883653</v>
      </c>
      <c r="Z75" s="27">
        <f t="shared" si="6"/>
        <v>20679.782712094438</v>
      </c>
      <c r="AA75" s="27">
        <f t="shared" si="6"/>
        <v>20838.871402295652</v>
      </c>
      <c r="AB75" s="27">
        <f t="shared" si="6"/>
        <v>20999.232297289047</v>
      </c>
      <c r="AC75" s="27">
        <f t="shared" si="6"/>
        <v>21160.875980467012</v>
      </c>
      <c r="AD75" s="27">
        <f t="shared" si="6"/>
        <v>21323.813126621091</v>
      </c>
      <c r="AE75" s="27">
        <f t="shared" si="6"/>
        <v>21488.054502757826</v>
      </c>
      <c r="AF75" s="27">
        <f t="shared" si="6"/>
        <v>21653.610968922112</v>
      </c>
      <c r="AG75" s="27">
        <f t="shared" si="6"/>
        <v>21820.493479028148</v>
      </c>
      <c r="AH75" s="27">
        <f t="shared" si="6"/>
        <v>21988.713081697955</v>
      </c>
      <c r="AI75" s="27">
        <f t="shared" si="6"/>
        <v>22158.280921107606</v>
      </c>
      <c r="AJ75" s="27">
        <f t="shared" si="6"/>
        <v>22329.208237841282</v>
      </c>
      <c r="AK75" s="27">
        <f t="shared" si="6"/>
        <v>22501.50636975309</v>
      </c>
      <c r="AL75" s="27">
        <f t="shared" si="6"/>
        <v>22675.186752836853</v>
      </c>
      <c r="AM75" s="27"/>
      <c r="AN75" s="27"/>
      <c r="AO75" s="7">
        <f>ROW()</f>
        <v>75</v>
      </c>
    </row>
    <row r="76" spans="2:41" ht="13.9" customHeight="1" x14ac:dyDescent="0.2">
      <c r="B76" s="42" t="s">
        <v>4</v>
      </c>
      <c r="H76" s="84"/>
      <c r="I76" s="44">
        <f>I69*1000000000000/(Emissions!$I$144*1000000*Parameters!$J$19*1000)</f>
        <v>185.38857706155244</v>
      </c>
      <c r="J76" s="44">
        <f>J69*1000000000000/(Emissions!$I$144*1000000*Parameters!$J$19*1000)</f>
        <v>185.80707010093678</v>
      </c>
      <c r="K76" s="44">
        <f>K69*1000000000000/(Emissions!$I$144*1000000*Parameters!$J$19*1000)</f>
        <v>186.22556314032104</v>
      </c>
      <c r="L76" s="44">
        <f>L69*1000000000000/(Emissions!$I$144*1000000*Parameters!$J$19*1000)</f>
        <v>182.19420817377525</v>
      </c>
      <c r="M76" s="44">
        <f>M69*1000000000000/(Emissions!$I$144*1000000*Parameters!$J$19*1000)</f>
        <v>166.3145089912673</v>
      </c>
      <c r="N76" s="44">
        <f>N69*1000000000000/(Emissions!$I$144*1000000*Parameters!$J$19*1000)</f>
        <v>174.42950169011098</v>
      </c>
      <c r="O76" s="44">
        <f>O69*1000000000000/(Emissions!$I$144*1000000*Parameters!$J$19*1000)</f>
        <v>174.99538339370176</v>
      </c>
      <c r="P76" s="44">
        <f>P69*1000000000000/(Emissions!$I$144*1000000*Parameters!$J$19*1000)</f>
        <v>175.61271709674651</v>
      </c>
      <c r="Q76" s="44">
        <f>Q69*1000000000000/(Emissions!$I$144*1000000*Parameters!$J$19*1000)</f>
        <v>176.88293276380486</v>
      </c>
      <c r="R76" s="44">
        <f>R69*1000000000000/(Emissions!$I$144*1000000*Parameters!$J$19*1000)</f>
        <v>178.16233596504361</v>
      </c>
      <c r="S76" s="44">
        <f>S69*1000000000000/(Emissions!$I$144*1000000*Parameters!$J$19*1000)</f>
        <v>179.45099315436227</v>
      </c>
      <c r="T76" s="44">
        <f>T69*1000000000000/(Emissions!$I$144*1000000*Parameters!$J$19*1000)</f>
        <v>180.74897126632484</v>
      </c>
      <c r="U76" s="44">
        <f>U69*1000000000000/(Emissions!$I$144*1000000*Parameters!$J$19*1000)</f>
        <v>182.05633771963625</v>
      </c>
      <c r="V76" s="44">
        <f>V69*1000000000000/(Emissions!$I$144*1000000*Parameters!$J$19*1000)</f>
        <v>183.37316042064458</v>
      </c>
      <c r="W76" s="44">
        <f>W69*1000000000000/(Emissions!$I$144*1000000*Parameters!$J$19*1000)</f>
        <v>184.6995077668677</v>
      </c>
      <c r="X76" s="44">
        <f>X69*1000000000000/(Emissions!$I$144*1000000*Parameters!$J$19*1000)</f>
        <v>186.03544865054641</v>
      </c>
      <c r="Y76" s="44">
        <f>Y69*1000000000000/(Emissions!$I$144*1000000*Parameters!$J$19*1000)</f>
        <v>187.38105246222241</v>
      </c>
      <c r="Z76" s="44">
        <f>Z69*1000000000000/(Emissions!$I$144*1000000*Parameters!$J$19*1000)</f>
        <v>188.73638909434263</v>
      </c>
      <c r="AA76" s="44">
        <f>AA69*1000000000000/(Emissions!$I$144*1000000*Parameters!$J$19*1000)</f>
        <v>190.10152894488982</v>
      </c>
      <c r="AB76" s="44">
        <f>AB69*1000000000000/(Emissions!$I$144*1000000*Parameters!$J$19*1000)</f>
        <v>191.47654292103891</v>
      </c>
      <c r="AC76" s="44">
        <f>AC69*1000000000000/(Emissions!$I$144*1000000*Parameters!$J$19*1000)</f>
        <v>192.86150244283996</v>
      </c>
      <c r="AD76" s="44">
        <f>AD69*1000000000000/(Emissions!$I$144*1000000*Parameters!$J$19*1000)</f>
        <v>194.25647944692753</v>
      </c>
      <c r="AE76" s="44">
        <f>AE69*1000000000000/(Emissions!$I$144*1000000*Parameters!$J$19*1000)</f>
        <v>195.66154639025797</v>
      </c>
      <c r="AF76" s="44">
        <f>AF69*1000000000000/(Emissions!$I$144*1000000*Parameters!$J$19*1000)</f>
        <v>197.07677625387225</v>
      </c>
      <c r="AG76" s="44">
        <f>AG69*1000000000000/(Emissions!$I$144*1000000*Parameters!$J$19*1000)</f>
        <v>198.50224254668694</v>
      </c>
      <c r="AH76" s="44">
        <f>AH69*1000000000000/(Emissions!$I$144*1000000*Parameters!$J$19*1000)</f>
        <v>199.93801930931238</v>
      </c>
      <c r="AI76" s="44">
        <f>AI69*1000000000000/(Emissions!$I$144*1000000*Parameters!$J$19*1000)</f>
        <v>201.38418111789809</v>
      </c>
      <c r="AJ76" s="44">
        <f>AJ69*1000000000000/(Emissions!$I$144*1000000*Parameters!$J$19*1000)</f>
        <v>202.84080308800725</v>
      </c>
      <c r="AK76" s="44">
        <f>AK69*1000000000000/(Emissions!$I$144*1000000*Parameters!$J$19*1000)</f>
        <v>204.30796087851689</v>
      </c>
      <c r="AL76" s="44">
        <f>AL69*1000000000000/(Emissions!$I$144*1000000*Parameters!$J$19*1000)</f>
        <v>205.78573069554943</v>
      </c>
      <c r="AM76" s="44"/>
      <c r="AN76" s="44"/>
      <c r="AO76" s="7">
        <f>ROW()</f>
        <v>76</v>
      </c>
    </row>
    <row r="77" spans="2:41" ht="13.9" customHeight="1" x14ac:dyDescent="0.2">
      <c r="B77" s="42" t="s">
        <v>450</v>
      </c>
      <c r="H77" s="84"/>
      <c r="I77" s="44">
        <f>(I70*1000000000/'Personal Ground Travel'!$K$22)/(Parameters!$J$18*Parameters!$J$19)</f>
        <v>9437.1732221200018</v>
      </c>
      <c r="J77" s="44">
        <f>(J70*1000000000/'Personal Ground Travel'!$K$22)/(Parameters!$J$18*Parameters!$J$19)</f>
        <v>9413.2917209252682</v>
      </c>
      <c r="K77" s="44">
        <f>(K70*1000000000/'Personal Ground Travel'!$K$22)/(Parameters!$J$18*Parameters!$J$19)</f>
        <v>9389.4102197305328</v>
      </c>
      <c r="L77" s="44">
        <f>(L70*1000000000/'Personal Ground Travel'!$K$22)/(Parameters!$J$18*Parameters!$J$19)</f>
        <v>8977.8523491412416</v>
      </c>
      <c r="M77" s="44">
        <f>(M70*1000000000/'Personal Ground Travel'!$K$22)/(Parameters!$J$18*Parameters!$J$19)</f>
        <v>8985.8128495394849</v>
      </c>
      <c r="N77" s="44">
        <f>(N70*1000000000/'Personal Ground Travel'!$K$22)/(Parameters!$J$18*Parameters!$J$19)</f>
        <v>8991.114938257997</v>
      </c>
      <c r="O77" s="44">
        <f>(O70*1000000000/'Personal Ground Travel'!$K$22)/(Parameters!$J$18*Parameters!$J$19)</f>
        <v>8806.3356520863872</v>
      </c>
      <c r="P77" s="44">
        <f>(P70*1000000000/'Personal Ground Travel'!$K$22)/(Parameters!$J$18*Parameters!$J$19)</f>
        <v>8834.4099474204122</v>
      </c>
      <c r="Q77" s="44">
        <f>(Q70*1000000000/'Personal Ground Travel'!$K$22)/(Parameters!$J$18*Parameters!$J$19)</f>
        <v>8891.6552312949789</v>
      </c>
      <c r="R77" s="44">
        <f>(R70*1000000000/'Personal Ground Travel'!$K$22)/(Parameters!$J$18*Parameters!$J$19)</f>
        <v>8949.2714536414278</v>
      </c>
      <c r="S77" s="44">
        <f>(S70*1000000000/'Personal Ground Travel'!$K$22)/(Parameters!$J$18*Parameters!$J$19)</f>
        <v>9007.2610180699921</v>
      </c>
      <c r="T77" s="44">
        <f>(T70*1000000000/'Personal Ground Travel'!$K$22)/(Parameters!$J$18*Parameters!$J$19)</f>
        <v>9065.626343765829</v>
      </c>
      <c r="U77" s="44">
        <f>(U70*1000000000/'Personal Ground Travel'!$K$22)/(Parameters!$J$18*Parameters!$J$19)</f>
        <v>9124.3698655899643</v>
      </c>
      <c r="V77" s="44">
        <f>(V70*1000000000/'Personal Ground Travel'!$K$22)/(Parameters!$J$18*Parameters!$J$19)</f>
        <v>9183.4940341808488</v>
      </c>
      <c r="W77" s="44">
        <f>(W70*1000000000/'Personal Ground Travel'!$K$22)/(Parameters!$J$18*Parameters!$J$19)</f>
        <v>9243.0013160565959</v>
      </c>
      <c r="X77" s="44">
        <f>(X70*1000000000/'Personal Ground Travel'!$K$22)/(Parameters!$J$18*Parameters!$J$19)</f>
        <v>9302.8941937178988</v>
      </c>
      <c r="Y77" s="44">
        <f>(Y70*1000000000/'Personal Ground Travel'!$K$22)/(Parameters!$J$18*Parameters!$J$19)</f>
        <v>9363.1751657515724</v>
      </c>
      <c r="Z77" s="44">
        <f>(Z70*1000000000/'Personal Ground Travel'!$K$22)/(Parameters!$J$18*Parameters!$J$19)</f>
        <v>9423.8467469347925</v>
      </c>
      <c r="AA77" s="44">
        <f>(AA70*1000000000/'Personal Ground Travel'!$K$22)/(Parameters!$J$18*Parameters!$J$19)</f>
        <v>9484.9114683400076</v>
      </c>
      <c r="AB77" s="44">
        <f>(AB70*1000000000/'Personal Ground Travel'!$K$22)/(Parameters!$J$18*Parameters!$J$19)</f>
        <v>9546.3718774405406</v>
      </c>
      <c r="AC77" s="44">
        <f>(AC70*1000000000/'Personal Ground Travel'!$K$22)/(Parameters!$J$18*Parameters!$J$19)</f>
        <v>9608.2305382168415</v>
      </c>
      <c r="AD77" s="44">
        <f>(AD70*1000000000/'Personal Ground Travel'!$K$22)/(Parameters!$J$18*Parameters!$J$19)</f>
        <v>9670.4900312634727</v>
      </c>
      <c r="AE77" s="44">
        <f>(AE70*1000000000/'Personal Ground Travel'!$K$22)/(Parameters!$J$18*Parameters!$J$19)</f>
        <v>9733.1529538967516</v>
      </c>
      <c r="AF77" s="44">
        <f>(AF70*1000000000/'Personal Ground Travel'!$K$22)/(Parameters!$J$18*Parameters!$J$19)</f>
        <v>9796.2219202631004</v>
      </c>
      <c r="AG77" s="44">
        <f>(AG70*1000000000/'Personal Ground Travel'!$K$22)/(Parameters!$J$18*Parameters!$J$19)</f>
        <v>9859.6995614481184</v>
      </c>
      <c r="AH77" s="44">
        <f>(AH70*1000000000/'Personal Ground Travel'!$K$22)/(Parameters!$J$18*Parameters!$J$19)</f>
        <v>9923.5885255863377</v>
      </c>
      <c r="AI77" s="44">
        <f>(AI70*1000000000/'Personal Ground Travel'!$K$22)/(Parameters!$J$18*Parameters!$J$19)</f>
        <v>9987.8914779716815</v>
      </c>
      <c r="AJ77" s="44">
        <f>(AJ70*1000000000/'Personal Ground Travel'!$K$22)/(Parameters!$J$18*Parameters!$J$19)</f>
        <v>10052.611101168677</v>
      </c>
      <c r="AK77" s="44">
        <f>(AK70*1000000000/'Personal Ground Travel'!$K$22)/(Parameters!$J$18*Parameters!$J$19)</f>
        <v>10117.750095124358</v>
      </c>
      <c r="AL77" s="44">
        <f>(AL70*1000000000/'Personal Ground Travel'!$K$22)/(Parameters!$J$18*Parameters!$J$19)</f>
        <v>10183.311177280895</v>
      </c>
      <c r="AM77" s="44"/>
      <c r="AN77" s="44"/>
      <c r="AO77" s="7">
        <f>ROW()</f>
        <v>77</v>
      </c>
    </row>
    <row r="78" spans="2:41" ht="13.9" customHeight="1" x14ac:dyDescent="0.2">
      <c r="B78" s="42" t="s">
        <v>296</v>
      </c>
      <c r="I78" s="44">
        <f>(I71*1000000000/Freight!$K$22)/(Parameters!$J$18*Parameters!$J$19)</f>
        <v>3339.7079167664097</v>
      </c>
      <c r="J78" s="44">
        <f>(J71*1000000000/Freight!$K$22)/(Parameters!$J$18*Parameters!$J$19)</f>
        <v>3430.3251114399377</v>
      </c>
      <c r="K78" s="44">
        <f>(K71*1000000000/Freight!$K$22)/(Parameters!$J$18*Parameters!$J$19)</f>
        <v>3520.9423061134657</v>
      </c>
      <c r="L78" s="44">
        <f>(L71*1000000000/Freight!$K$22)/(Parameters!$J$18*Parameters!$J$19)</f>
        <v>3286.554367947308</v>
      </c>
      <c r="M78" s="44">
        <f>(M71*1000000000/Freight!$K$22)/(Parameters!$J$18*Parameters!$J$19)</f>
        <v>2917.0411430241602</v>
      </c>
      <c r="N78" s="44">
        <f>(N71*1000000000/Freight!$K$22)/(Parameters!$J$18*Parameters!$J$19)</f>
        <v>3039.7308714843034</v>
      </c>
      <c r="O78" s="44">
        <f>(O71*1000000000/Freight!$K$22)/(Parameters!$J$18*Parameters!$J$19)</f>
        <v>3108.7910675985377</v>
      </c>
      <c r="P78" s="44">
        <f>(P71*1000000000/Freight!$K$22)/(Parameters!$J$18*Parameters!$J$19)</f>
        <v>3118.4351546267189</v>
      </c>
      <c r="Q78" s="44">
        <f>(Q71*1000000000/Freight!$K$22)/(Parameters!$J$18*Parameters!$J$19)</f>
        <v>3139.6591112265241</v>
      </c>
      <c r="R78" s="44">
        <f>(R71*1000000000/Freight!$K$22)/(Parameters!$J$18*Parameters!$J$19)</f>
        <v>3161.0275173054474</v>
      </c>
      <c r="S78" s="44">
        <f>(S71*1000000000/Freight!$K$22)/(Parameters!$J$18*Parameters!$J$19)</f>
        <v>3182.5413559814078</v>
      </c>
      <c r="T78" s="44">
        <f>(T71*1000000000/Freight!$K$22)/(Parameters!$J$18*Parameters!$J$19)</f>
        <v>3204.2016170633865</v>
      </c>
      <c r="U78" s="44">
        <f>(U71*1000000000/Freight!$K$22)/(Parameters!$J$18*Parameters!$J$19)</f>
        <v>3226.0092970969713</v>
      </c>
      <c r="V78" s="44">
        <f>(V71*1000000000/Freight!$K$22)/(Parameters!$J$18*Parameters!$J$19)</f>
        <v>3247.9653994102005</v>
      </c>
      <c r="W78" s="44">
        <f>(W71*1000000000/Freight!$K$22)/(Parameters!$J$18*Parameters!$J$19)</f>
        <v>3270.0709341597285</v>
      </c>
      <c r="X78" s="44">
        <f>(X71*1000000000/Freight!$K$22)/(Parameters!$J$18*Parameters!$J$19)</f>
        <v>3292.3269183772995</v>
      </c>
      <c r="Y78" s="44">
        <f>(Y71*1000000000/Freight!$K$22)/(Parameters!$J$18*Parameters!$J$19)</f>
        <v>3314.7343760165386</v>
      </c>
      <c r="Z78" s="44">
        <f>(Z71*1000000000/Freight!$K$22)/(Parameters!$J$18*Parameters!$J$19)</f>
        <v>3337.2943380000611</v>
      </c>
      <c r="AA78" s="44">
        <f>(AA71*1000000000/Freight!$K$22)/(Parameters!$J$18*Parameters!$J$19)</f>
        <v>3360.0078422669048</v>
      </c>
      <c r="AB78" s="44">
        <f>(AB71*1000000000/Freight!$K$22)/(Parameters!$J$18*Parameters!$J$19)</f>
        <v>3382.875933820284</v>
      </c>
      <c r="AC78" s="44">
        <f>(AC71*1000000000/Freight!$K$22)/(Parameters!$J$18*Parameters!$J$19)</f>
        <v>3405.899664775664</v>
      </c>
      <c r="AD78" s="44">
        <f>(AD71*1000000000/Freight!$K$22)/(Parameters!$J$18*Parameters!$J$19)</f>
        <v>3429.0800944091748</v>
      </c>
      <c r="AE78" s="44">
        <f>(AE71*1000000000/Freight!$K$22)/(Parameters!$J$18*Parameters!$J$19)</f>
        <v>3452.4182892063377</v>
      </c>
      <c r="AF78" s="44">
        <f>(AF71*1000000000/Freight!$K$22)/(Parameters!$J$18*Parameters!$J$19)</f>
        <v>3475.9153229111362</v>
      </c>
      <c r="AG78" s="44">
        <f>(AG71*1000000000/Freight!$K$22)/(Parameters!$J$18*Parameters!$J$19)</f>
        <v>3499.5722765754163</v>
      </c>
      <c r="AH78" s="44">
        <f>(AH71*1000000000/Freight!$K$22)/(Parameters!$J$18*Parameters!$J$19)</f>
        <v>3523.3902386086229</v>
      </c>
      <c r="AI78" s="44">
        <f>(AI71*1000000000/Freight!$K$22)/(Parameters!$J$18*Parameters!$J$19)</f>
        <v>3547.3703048278794</v>
      </c>
      <c r="AJ78" s="44">
        <f>(AJ71*1000000000/Freight!$K$22)/(Parameters!$J$18*Parameters!$J$19)</f>
        <v>3571.5135785083994</v>
      </c>
      <c r="AK78" s="44">
        <f>(AK71*1000000000/Freight!$K$22)/(Parameters!$J$18*Parameters!$J$19)</f>
        <v>3595.8211704342452</v>
      </c>
      <c r="AL78" s="44">
        <f>(AL71*1000000000/Freight!$K$22)/(Parameters!$J$18*Parameters!$J$19)</f>
        <v>3620.2941989494366</v>
      </c>
      <c r="AM78" s="44"/>
      <c r="AN78" s="44"/>
      <c r="AO78" s="7">
        <f>ROW()</f>
        <v>78</v>
      </c>
    </row>
    <row r="79" spans="2:41" ht="13.9" customHeight="1" x14ac:dyDescent="0.2">
      <c r="B79" s="42" t="s">
        <v>31</v>
      </c>
      <c r="I79" s="44">
        <f>(I72*1000000000/Aviation!$K$22)/(Parameters!$J$18*Parameters!$J$19)</f>
        <v>1603.1834643076966</v>
      </c>
      <c r="J79" s="44">
        <f>(J72*1000000000/Aviation!$K$22)/(Parameters!$J$18*Parameters!$J$19)</f>
        <v>1580.6898187625629</v>
      </c>
      <c r="K79" s="44">
        <f>(K72*1000000000/Aviation!$K$22)/(Parameters!$J$18*Parameters!$J$19)</f>
        <v>1558.1961732174293</v>
      </c>
      <c r="L79" s="44">
        <f>(L72*1000000000/Aviation!$K$22)/(Parameters!$J$18*Parameters!$J$19)</f>
        <v>1474.356221640114</v>
      </c>
      <c r="M79" s="44">
        <f>(M72*1000000000/Aviation!$K$22)/(Parameters!$J$18*Parameters!$J$19)</f>
        <v>1335.3045946338343</v>
      </c>
      <c r="N79" s="44">
        <f>(N72*1000000000/Aviation!$K$22)/(Parameters!$J$18*Parameters!$J$19)</f>
        <v>1445.1756208347035</v>
      </c>
      <c r="O79" s="44">
        <f>(O72*1000000000/Aviation!$K$22)/(Parameters!$J$18*Parameters!$J$19)</f>
        <v>1447.3450276161107</v>
      </c>
      <c r="P79" s="44">
        <f>(P72*1000000000/Aviation!$K$22)/(Parameters!$J$18*Parameters!$J$19)</f>
        <v>1451.8092688174788</v>
      </c>
      <c r="Q79" s="44">
        <f>(Q72*1000000000/Aviation!$K$22)/(Parameters!$J$18*Parameters!$J$19)</f>
        <v>1463.4611086431794</v>
      </c>
      <c r="R79" s="44">
        <f>(R72*1000000000/Aviation!$K$22)/(Parameters!$J$18*Parameters!$J$19)</f>
        <v>1475.2064630745788</v>
      </c>
      <c r="S79" s="44">
        <f>(S72*1000000000/Aviation!$K$22)/(Parameters!$J$18*Parameters!$J$19)</f>
        <v>1487.0460826353374</v>
      </c>
      <c r="T79" s="44">
        <f>(T72*1000000000/Aviation!$K$22)/(Parameters!$J$18*Parameters!$J$19)</f>
        <v>1498.9807238726225</v>
      </c>
      <c r="U79" s="44">
        <f>(U72*1000000000/Aviation!$K$22)/(Parameters!$J$18*Parameters!$J$19)</f>
        <v>1511.0111494054486</v>
      </c>
      <c r="V79" s="44">
        <f>(V72*1000000000/Aviation!$K$22)/(Parameters!$J$18*Parameters!$J$19)</f>
        <v>1523.1381279734117</v>
      </c>
      <c r="W79" s="44">
        <f>(W72*1000000000/Aviation!$K$22)/(Parameters!$J$18*Parameters!$J$19)</f>
        <v>1535.3624344858081</v>
      </c>
      <c r="X79" s="44">
        <f>(X72*1000000000/Aviation!$K$22)/(Parameters!$J$18*Parameters!$J$19)</f>
        <v>1547.6848500711537</v>
      </c>
      <c r="Y79" s="44">
        <f>(Y72*1000000000/Aviation!$K$22)/(Parameters!$J$18*Parameters!$J$19)</f>
        <v>1560.1061621270962</v>
      </c>
      <c r="Z79" s="44">
        <f>(Z72*1000000000/Aviation!$K$22)/(Parameters!$J$18*Parameters!$J$19)</f>
        <v>1572.6271643707305</v>
      </c>
      <c r="AA79" s="44">
        <f>(AA72*1000000000/Aviation!$K$22)/(Parameters!$J$18*Parameters!$J$19)</f>
        <v>1585.2486568893155</v>
      </c>
      <c r="AB79" s="44">
        <f>(AB72*1000000000/Aviation!$K$22)/(Parameters!$J$18*Parameters!$J$19)</f>
        <v>1597.9714461914018</v>
      </c>
      <c r="AC79" s="44">
        <f>(AC72*1000000000/Aviation!$K$22)/(Parameters!$J$18*Parameters!$J$19)</f>
        <v>1610.7963452583638</v>
      </c>
      <c r="AD79" s="44">
        <f>(AD72*1000000000/Aviation!$K$22)/(Parameters!$J$18*Parameters!$J$19)</f>
        <v>1623.7241735963526</v>
      </c>
      <c r="AE79" s="44">
        <f>(AE72*1000000000/Aviation!$K$22)/(Parameters!$J$18*Parameters!$J$19)</f>
        <v>1636.7557572886597</v>
      </c>
      <c r="AF79" s="44">
        <f>(AF72*1000000000/Aviation!$K$22)/(Parameters!$J$18*Parameters!$J$19)</f>
        <v>1649.8919290485037</v>
      </c>
      <c r="AG79" s="44">
        <f>(AG72*1000000000/Aviation!$K$22)/(Parameters!$J$18*Parameters!$J$19)</f>
        <v>1663.1335282722412</v>
      </c>
      <c r="AH79" s="44">
        <f>(AH72*1000000000/Aviation!$K$22)/(Parameters!$J$18*Parameters!$J$19)</f>
        <v>1676.4814010930033</v>
      </c>
      <c r="AI79" s="44">
        <f>(AI72*1000000000/Aviation!$K$22)/(Parameters!$J$18*Parameters!$J$19)</f>
        <v>1689.9364004347638</v>
      </c>
      <c r="AJ79" s="44">
        <f>(AJ72*1000000000/Aviation!$K$22)/(Parameters!$J$18*Parameters!$J$19)</f>
        <v>1703.4993860668396</v>
      </c>
      <c r="AK79" s="44">
        <f>(AK72*1000000000/Aviation!$K$22)/(Parameters!$J$18*Parameters!$J$19)</f>
        <v>1717.1712246588311</v>
      </c>
      <c r="AL79" s="44">
        <f>(AL72*1000000000/Aviation!$K$22)/(Parameters!$J$18*Parameters!$J$19)</f>
        <v>1730.9527898359997</v>
      </c>
      <c r="AM79" s="44"/>
      <c r="AN79" s="44"/>
      <c r="AO79" s="7">
        <f>ROW()</f>
        <v>79</v>
      </c>
    </row>
    <row r="80" spans="2:41" ht="13.9" customHeight="1" x14ac:dyDescent="0.2">
      <c r="B80" s="42" t="s">
        <v>5</v>
      </c>
      <c r="I80" s="44">
        <f>(I73*1000000000/(Other!$M$34*'Personal Ground Travel'!$K$22))/(Parameters!$J$18*Parameters!$J$19)</f>
        <v>5709.9609841418023</v>
      </c>
      <c r="J80" s="44">
        <f>(J73*1000000000/(Other!$M$34*'Personal Ground Travel'!$K$22))/(Parameters!$J$18*Parameters!$J$19)</f>
        <v>5700.4280748215979</v>
      </c>
      <c r="K80" s="44">
        <f>(K73*1000000000/(Other!$M$34*'Personal Ground Travel'!$K$22))/(Parameters!$J$18*Parameters!$J$19)</f>
        <v>5690.8951655013961</v>
      </c>
      <c r="L80" s="44">
        <f>(L73*1000000000/(Other!$M$34*'Personal Ground Travel'!$K$22))/(Parameters!$J$18*Parameters!$J$19)</f>
        <v>5580.1826801131119</v>
      </c>
      <c r="M80" s="44">
        <f>(M73*1000000000/(Other!$M$34*'Personal Ground Travel'!$K$22))/(Parameters!$J$18*Parameters!$J$19)</f>
        <v>5240.7310352828881</v>
      </c>
      <c r="N80" s="44">
        <f>(N73*1000000000/(Other!$M$34*'Personal Ground Travel'!$K$22))/(Parameters!$J$18*Parameters!$J$19)</f>
        <v>5515.4957293780872</v>
      </c>
      <c r="O80" s="44">
        <f>(O73*1000000000/(Other!$M$34*'Personal Ground Travel'!$K$22))/(Parameters!$J$18*Parameters!$J$19)</f>
        <v>5541.7317013079482</v>
      </c>
      <c r="P80" s="44">
        <f>(P73*1000000000/(Other!$M$34*'Personal Ground Travel'!$K$22))/(Parameters!$J$18*Parameters!$J$19)</f>
        <v>5576.3353930394496</v>
      </c>
      <c r="Q80" s="44">
        <f>(Q73*1000000000/(Other!$M$34*'Personal Ground Travel'!$K$22))/(Parameters!$J$18*Parameters!$J$19)</f>
        <v>5631.8732868324423</v>
      </c>
      <c r="R80" s="44">
        <f>(R73*1000000000/(Other!$M$34*'Personal Ground Travel'!$K$22))/(Parameters!$J$18*Parameters!$J$19)</f>
        <v>5687.9643140777052</v>
      </c>
      <c r="S80" s="44">
        <f>(S73*1000000000/(Other!$M$34*'Personal Ground Travel'!$K$22))/(Parameters!$J$18*Parameters!$J$19)</f>
        <v>5744.6139837456913</v>
      </c>
      <c r="T80" s="44">
        <f>(T73*1000000000/(Other!$M$34*'Personal Ground Travel'!$K$22))/(Parameters!$J$18*Parameters!$J$19)</f>
        <v>5801.8278596738219</v>
      </c>
      <c r="U80" s="44">
        <f>(U73*1000000000/(Other!$M$34*'Personal Ground Travel'!$K$22))/(Parameters!$J$18*Parameters!$J$19)</f>
        <v>5859.6115611129435</v>
      </c>
      <c r="V80" s="44">
        <f>(V73*1000000000/(Other!$M$34*'Personal Ground Travel'!$K$22))/(Parameters!$J$18*Parameters!$J$19)</f>
        <v>5917.9707632792069</v>
      </c>
      <c r="W80" s="44">
        <f>(W73*1000000000/(Other!$M$34*'Personal Ground Travel'!$K$22))/(Parameters!$J$18*Parameters!$J$19)</f>
        <v>5976.9111979114732</v>
      </c>
      <c r="X80" s="44">
        <f>(X73*1000000000/(Other!$M$34*'Personal Ground Travel'!$K$22))/(Parameters!$J$18*Parameters!$J$19)</f>
        <v>6036.4386538342469</v>
      </c>
      <c r="Y80" s="44">
        <f>(Y73*1000000000/(Other!$M$34*'Personal Ground Travel'!$K$22))/(Parameters!$J$18*Parameters!$J$19)</f>
        <v>6096.5589775262251</v>
      </c>
      <c r="Z80" s="44">
        <f>(Z73*1000000000/(Other!$M$34*'Personal Ground Travel'!$K$22))/(Parameters!$J$18*Parameters!$J$19)</f>
        <v>6157.2780736945097</v>
      </c>
      <c r="AA80" s="44">
        <f>(AA73*1000000000/(Other!$M$34*'Personal Ground Travel'!$K$22))/(Parameters!$J$18*Parameters!$J$19)</f>
        <v>6218.6019058545353</v>
      </c>
      <c r="AB80" s="44">
        <f>(AB73*1000000000/(Other!$M$34*'Personal Ground Travel'!$K$22))/(Parameters!$J$18*Parameters!$J$19)</f>
        <v>6280.5364969157818</v>
      </c>
      <c r="AC80" s="44">
        <f>(AC73*1000000000/(Other!$M$34*'Personal Ground Travel'!$K$22))/(Parameters!$J$18*Parameters!$J$19)</f>
        <v>6343.0879297733027</v>
      </c>
      <c r="AD80" s="44">
        <f>(AD73*1000000000/(Other!$M$34*'Personal Ground Travel'!$K$22))/(Parameters!$J$18*Parameters!$J$19)</f>
        <v>6406.2623479051636</v>
      </c>
      <c r="AE80" s="44">
        <f>(AE73*1000000000/(Other!$M$34*'Personal Ground Travel'!$K$22))/(Parameters!$J$18*Parameters!$J$19)</f>
        <v>6470.0659559758178</v>
      </c>
      <c r="AF80" s="44">
        <f>(AF73*1000000000/(Other!$M$34*'Personal Ground Travel'!$K$22))/(Parameters!$J$18*Parameters!$J$19)</f>
        <v>6534.5050204454983</v>
      </c>
      <c r="AG80" s="44">
        <f>(AG73*1000000000/(Other!$M$34*'Personal Ground Travel'!$K$22))/(Parameters!$J$18*Parameters!$J$19)</f>
        <v>6599.5858701856851</v>
      </c>
      <c r="AH80" s="44">
        <f>(AH73*1000000000/(Other!$M$34*'Personal Ground Travel'!$K$22))/(Parameters!$J$18*Parameters!$J$19)</f>
        <v>6665.3148971006758</v>
      </c>
      <c r="AI80" s="44">
        <f>(AI73*1000000000/(Other!$M$34*'Personal Ground Travel'!$K$22))/(Parameters!$J$18*Parameters!$J$19)</f>
        <v>6731.6985567553838</v>
      </c>
      <c r="AJ80" s="44">
        <f>(AJ73*1000000000/(Other!$M$34*'Personal Ground Travel'!$K$22))/(Parameters!$J$18*Parameters!$J$19)</f>
        <v>6798.7433690093576</v>
      </c>
      <c r="AK80" s="44">
        <f>(AK73*1000000000/(Other!$M$34*'Personal Ground Travel'!$K$22))/(Parameters!$J$18*Parameters!$J$19)</f>
        <v>6866.4559186571378</v>
      </c>
      <c r="AL80" s="44">
        <f>(AL73*1000000000/(Other!$M$34*'Personal Ground Travel'!$K$22))/(Parameters!$J$18*Parameters!$J$19)</f>
        <v>6934.8428560749726</v>
      </c>
      <c r="AM80" s="44"/>
      <c r="AN80" s="44"/>
      <c r="AO80" s="7">
        <f>ROW()</f>
        <v>80</v>
      </c>
    </row>
    <row r="81" spans="2:41" ht="13.9" customHeight="1" x14ac:dyDescent="0.2">
      <c r="B81" s="9"/>
      <c r="I81" s="60"/>
      <c r="J81" s="60"/>
      <c r="K81" s="60"/>
      <c r="L81" s="60"/>
      <c r="M81" s="60"/>
      <c r="N81" s="60"/>
      <c r="O81" s="60"/>
      <c r="P81" s="60"/>
      <c r="Q81" s="60"/>
      <c r="R81" s="60"/>
      <c r="S81" s="60"/>
      <c r="T81" s="60"/>
      <c r="U81" s="60"/>
      <c r="V81" s="60"/>
      <c r="W81" s="60"/>
      <c r="AO81" s="7">
        <f>ROW()</f>
        <v>81</v>
      </c>
    </row>
    <row r="82" spans="2:41" ht="13.9" customHeight="1" x14ac:dyDescent="0.2">
      <c r="B82" s="9" t="s">
        <v>642</v>
      </c>
      <c r="I82" s="373">
        <f>I43</f>
        <v>2005</v>
      </c>
      <c r="J82" s="373">
        <f t="shared" ref="J82:AL82" si="7">J43</f>
        <v>2006</v>
      </c>
      <c r="K82" s="373">
        <f t="shared" si="7"/>
        <v>2007</v>
      </c>
      <c r="L82" s="373">
        <f t="shared" si="7"/>
        <v>2008</v>
      </c>
      <c r="M82" s="373">
        <f t="shared" si="7"/>
        <v>2009</v>
      </c>
      <c r="N82" s="373">
        <f t="shared" si="7"/>
        <v>2010</v>
      </c>
      <c r="O82" s="373">
        <f t="shared" si="7"/>
        <v>2011</v>
      </c>
      <c r="P82" s="373">
        <f t="shared" si="7"/>
        <v>2012</v>
      </c>
      <c r="Q82" s="373">
        <f t="shared" si="7"/>
        <v>2013</v>
      </c>
      <c r="R82" s="373">
        <f t="shared" si="7"/>
        <v>2014</v>
      </c>
      <c r="S82" s="373">
        <f t="shared" si="7"/>
        <v>2015</v>
      </c>
      <c r="T82" s="373">
        <f t="shared" si="7"/>
        <v>2016</v>
      </c>
      <c r="U82" s="373">
        <f t="shared" si="7"/>
        <v>2017</v>
      </c>
      <c r="V82" s="373">
        <f t="shared" si="7"/>
        <v>2018</v>
      </c>
      <c r="W82" s="373">
        <f t="shared" si="7"/>
        <v>2019</v>
      </c>
      <c r="X82" s="373">
        <f t="shared" si="7"/>
        <v>2020</v>
      </c>
      <c r="Y82" s="373">
        <f t="shared" si="7"/>
        <v>2021</v>
      </c>
      <c r="Z82" s="373">
        <f t="shared" si="7"/>
        <v>2022</v>
      </c>
      <c r="AA82" s="373">
        <f t="shared" si="7"/>
        <v>2023</v>
      </c>
      <c r="AB82" s="373">
        <f t="shared" si="7"/>
        <v>2024</v>
      </c>
      <c r="AC82" s="373">
        <f t="shared" si="7"/>
        <v>2025</v>
      </c>
      <c r="AD82" s="373">
        <f t="shared" si="7"/>
        <v>2026</v>
      </c>
      <c r="AE82" s="373">
        <f t="shared" si="7"/>
        <v>2027</v>
      </c>
      <c r="AF82" s="373">
        <f t="shared" si="7"/>
        <v>2028</v>
      </c>
      <c r="AG82" s="373">
        <f t="shared" si="7"/>
        <v>2029</v>
      </c>
      <c r="AH82" s="373">
        <f t="shared" si="7"/>
        <v>2030</v>
      </c>
      <c r="AI82" s="373">
        <f t="shared" si="7"/>
        <v>2031</v>
      </c>
      <c r="AJ82" s="373">
        <f t="shared" si="7"/>
        <v>2032</v>
      </c>
      <c r="AK82" s="373">
        <f t="shared" si="7"/>
        <v>2033</v>
      </c>
      <c r="AL82" s="373">
        <f t="shared" si="7"/>
        <v>2034</v>
      </c>
      <c r="AO82" s="7">
        <f>ROW()</f>
        <v>82</v>
      </c>
    </row>
    <row r="83" spans="2:41" ht="13.9" customHeight="1" x14ac:dyDescent="0.2">
      <c r="M83" s="60"/>
      <c r="N83" s="60"/>
      <c r="O83" s="60"/>
      <c r="P83" s="60"/>
      <c r="Q83" s="60"/>
      <c r="R83" s="60"/>
      <c r="S83" s="60"/>
      <c r="T83" s="60"/>
      <c r="U83" s="60"/>
      <c r="V83" s="60"/>
      <c r="W83" s="60"/>
      <c r="X83" s="60"/>
      <c r="Y83" s="60"/>
      <c r="AO83" s="7">
        <f>ROW()</f>
        <v>83</v>
      </c>
    </row>
    <row r="84" spans="2:41" ht="13.9" customHeight="1" x14ac:dyDescent="0.2">
      <c r="B84" s="9" t="str">
        <f>Summary!B128</f>
        <v>CO2 emissions, millions of metric tons, with carbon tax incremented at levels inputted above</v>
      </c>
      <c r="I84" s="105">
        <f t="shared" ref="I84:AL84" si="8">SUM(I85:I89)</f>
        <v>5862.9</v>
      </c>
      <c r="J84" s="105">
        <f t="shared" si="8"/>
        <v>5873.5999999999985</v>
      </c>
      <c r="K84" s="105">
        <f t="shared" si="8"/>
        <v>5884.3000000000011</v>
      </c>
      <c r="L84" s="105">
        <f t="shared" si="8"/>
        <v>5699.5999999999995</v>
      </c>
      <c r="M84" s="105">
        <f t="shared" si="8"/>
        <v>5332.1</v>
      </c>
      <c r="N84" s="105">
        <f t="shared" si="8"/>
        <v>5541.5158982895991</v>
      </c>
      <c r="O84" s="105">
        <f t="shared" si="8"/>
        <v>5541.3096846096032</v>
      </c>
      <c r="P84" s="105">
        <f t="shared" si="8"/>
        <v>5435.6247918920571</v>
      </c>
      <c r="Q84" s="105">
        <f t="shared" si="8"/>
        <v>5437.1109929833619</v>
      </c>
      <c r="R84" s="105">
        <f t="shared" si="8"/>
        <v>5434.1422888090838</v>
      </c>
      <c r="S84" s="105">
        <f t="shared" si="8"/>
        <v>5426.4670668862836</v>
      </c>
      <c r="T84" s="105">
        <f t="shared" si="8"/>
        <v>5413.8270064820344</v>
      </c>
      <c r="U84" s="105">
        <f t="shared" si="8"/>
        <v>5395.9582914109424</v>
      </c>
      <c r="V84" s="105">
        <f t="shared" si="8"/>
        <v>5372.5931928477085</v>
      </c>
      <c r="W84" s="105">
        <f t="shared" si="8"/>
        <v>5343.4620695842323</v>
      </c>
      <c r="X84" s="105">
        <f t="shared" si="8"/>
        <v>5308.2958313091949</v>
      </c>
      <c r="Y84" s="105">
        <f t="shared" si="8"/>
        <v>5266.828906273392</v>
      </c>
      <c r="Z84" s="105">
        <f t="shared" si="8"/>
        <v>5244.8201939088422</v>
      </c>
      <c r="AA84" s="105">
        <f t="shared" si="8"/>
        <v>5218.7533734787612</v>
      </c>
      <c r="AB84" s="105">
        <f t="shared" si="8"/>
        <v>5188.3700811671733</v>
      </c>
      <c r="AC84" s="105">
        <f t="shared" si="8"/>
        <v>5153.6615978576565</v>
      </c>
      <c r="AD84" s="105">
        <f t="shared" si="8"/>
        <v>5114.6208855322366</v>
      </c>
      <c r="AE84" s="105">
        <f t="shared" si="8"/>
        <v>5106.3005338952162</v>
      </c>
      <c r="AF84" s="105">
        <f t="shared" si="8"/>
        <v>5096.7101677101437</v>
      </c>
      <c r="AG84" s="105">
        <f t="shared" si="8"/>
        <v>5086.0499549215365</v>
      </c>
      <c r="AH84" s="105">
        <f t="shared" si="8"/>
        <v>5074.529516926139</v>
      </c>
      <c r="AI84" s="105">
        <f t="shared" si="8"/>
        <v>5062.3670671333239</v>
      </c>
      <c r="AJ84" s="105">
        <f t="shared" si="8"/>
        <v>5049.7884788923311</v>
      </c>
      <c r="AK84" s="105">
        <f t="shared" si="8"/>
        <v>5037.0262843332957</v>
      </c>
      <c r="AL84" s="105">
        <f t="shared" si="8"/>
        <v>5024.3186051231223</v>
      </c>
      <c r="AM84" s="105"/>
      <c r="AN84" s="105"/>
      <c r="AO84" s="7">
        <f>ROW()</f>
        <v>84</v>
      </c>
    </row>
    <row r="85" spans="2:41" ht="13.9" customHeight="1" x14ac:dyDescent="0.2">
      <c r="B85" s="42" t="str">
        <f>Summary!B129</f>
        <v xml:space="preserve">  from Electricity</v>
      </c>
      <c r="I85" s="20">
        <f t="shared" ref="I85:O85" si="9">I55</f>
        <v>2414.2999999999997</v>
      </c>
      <c r="J85" s="20">
        <f t="shared" si="9"/>
        <v>2419.75</v>
      </c>
      <c r="K85" s="20">
        <f t="shared" si="9"/>
        <v>2425.1999999999998</v>
      </c>
      <c r="L85" s="20">
        <f t="shared" si="9"/>
        <v>2372.6999999999998</v>
      </c>
      <c r="M85" s="20">
        <f t="shared" si="9"/>
        <v>2165.9</v>
      </c>
      <c r="N85" s="20">
        <f t="shared" si="9"/>
        <v>2271.5808741043061</v>
      </c>
      <c r="O85" s="20">
        <f t="shared" si="9"/>
        <v>2278.9503044038092</v>
      </c>
      <c r="P85" s="20">
        <f>Summary!P129</f>
        <v>2207.9342777878501</v>
      </c>
      <c r="Q85" s="20">
        <f>Summary!Q129</f>
        <v>2206.8499802076544</v>
      </c>
      <c r="R85" s="20">
        <f>Summary!R129</f>
        <v>2204.2226003174642</v>
      </c>
      <c r="S85" s="20">
        <f>Summary!S129</f>
        <v>2199.9233458484509</v>
      </c>
      <c r="T85" s="20">
        <f>Summary!T129</f>
        <v>2193.817418862106</v>
      </c>
      <c r="U85" s="20">
        <f>Summary!U129</f>
        <v>2185.7645504303664</v>
      </c>
      <c r="V85" s="20">
        <f>Summary!V129</f>
        <v>2175.6197348288356</v>
      </c>
      <c r="W85" s="20">
        <f>Summary!W129</f>
        <v>2163.2341915159077</v>
      </c>
      <c r="X85" s="20">
        <f>Summary!X129</f>
        <v>2148.4565833151059</v>
      </c>
      <c r="Y85" s="20">
        <f>Summary!Y129</f>
        <v>2131.1345182520149</v>
      </c>
      <c r="Z85" s="20">
        <f>Summary!Z129</f>
        <v>2120.0912071062553</v>
      </c>
      <c r="AA85" s="20">
        <f>Summary!AA129</f>
        <v>2106.8096153138608</v>
      </c>
      <c r="AB85" s="20">
        <f>Summary!AB129</f>
        <v>2091.1484346749653</v>
      </c>
      <c r="AC85" s="20">
        <f>Summary!AC129</f>
        <v>2073.0581350085859</v>
      </c>
      <c r="AD85" s="20">
        <f>Summary!AD129</f>
        <v>2052.4881690088232</v>
      </c>
      <c r="AE85" s="20">
        <f>Summary!AE129</f>
        <v>2053.3692684877742</v>
      </c>
      <c r="AF85" s="20">
        <f>Summary!AF129</f>
        <v>2053.7504193449213</v>
      </c>
      <c r="AG85" s="20">
        <f>Summary!AG129</f>
        <v>2053.7074995430867</v>
      </c>
      <c r="AH85" s="20">
        <f>Summary!AH129</f>
        <v>2053.3199882130798</v>
      </c>
      <c r="AI85" s="20">
        <f>Summary!AI129</f>
        <v>2052.670570534327</v>
      </c>
      <c r="AJ85" s="20">
        <f>Summary!AJ129</f>
        <v>2051.8446771728536</v>
      </c>
      <c r="AK85" s="20">
        <f>Summary!AK129</f>
        <v>2050.9299509689477</v>
      </c>
      <c r="AL85" s="20">
        <f>Summary!AL129</f>
        <v>2050.0156325561547</v>
      </c>
      <c r="AM85" s="20"/>
      <c r="AN85" s="20"/>
      <c r="AO85" s="7">
        <f>ROW()</f>
        <v>85</v>
      </c>
    </row>
    <row r="86" spans="2:41" ht="13.9" customHeight="1" x14ac:dyDescent="0.2">
      <c r="B86" s="42" t="str">
        <f>Summary!B130</f>
        <v xml:space="preserve">  from Personal Ground Travel </v>
      </c>
      <c r="I86" s="20">
        <f t="shared" ref="I86:M89" si="10">I56</f>
        <v>1284.2521499999996</v>
      </c>
      <c r="J86" s="20">
        <f t="shared" si="10"/>
        <v>1281.0022499999998</v>
      </c>
      <c r="K86" s="20">
        <f t="shared" si="10"/>
        <v>1277.75235</v>
      </c>
      <c r="L86" s="20">
        <f t="shared" si="10"/>
        <v>1221.7457400000001</v>
      </c>
      <c r="M86" s="20">
        <f t="shared" si="10"/>
        <v>1222.8290399999998</v>
      </c>
      <c r="N86" s="20">
        <f t="shared" ref="N86:O89" si="11">N56</f>
        <v>1223.5505716150258</v>
      </c>
      <c r="O86" s="20">
        <f t="shared" si="11"/>
        <v>1198.404991476141</v>
      </c>
      <c r="P86" s="20">
        <f>Summary!P130</f>
        <v>1187.2295001968887</v>
      </c>
      <c r="Q86" s="20">
        <f>Summary!Q130</f>
        <v>1189.7653382681031</v>
      </c>
      <c r="R86" s="20">
        <f>Summary!R130</f>
        <v>1191.1981712574634</v>
      </c>
      <c r="S86" s="20">
        <f>Summary!S130</f>
        <v>1191.4980508015676</v>
      </c>
      <c r="T86" s="20">
        <f>Summary!T130</f>
        <v>1190.6360321386439</v>
      </c>
      <c r="U86" s="20">
        <f>Summary!U130</f>
        <v>1188.5842776242969</v>
      </c>
      <c r="V86" s="20">
        <f>Summary!V130</f>
        <v>1185.316172985674</v>
      </c>
      <c r="W86" s="20">
        <f>Summary!W130</f>
        <v>1180.8064584047606</v>
      </c>
      <c r="X86" s="20">
        <f>Summary!X130</f>
        <v>1175.0313766505849</v>
      </c>
      <c r="Y86" s="20">
        <f>Summary!Y130</f>
        <v>1167.968840578965</v>
      </c>
      <c r="Z86" s="20">
        <f>Summary!Z130</f>
        <v>1162.5031245359289</v>
      </c>
      <c r="AA86" s="20">
        <f>Summary!AA130</f>
        <v>1156.6166362774225</v>
      </c>
      <c r="AB86" s="20">
        <f>Summary!AB130</f>
        <v>1150.2779791073162</v>
      </c>
      <c r="AC86" s="20">
        <f>Summary!AC130</f>
        <v>1143.4785336336001</v>
      </c>
      <c r="AD86" s="20">
        <f>Summary!AD130</f>
        <v>1136.2085593854958</v>
      </c>
      <c r="AE86" s="20">
        <f>Summary!AE130</f>
        <v>1132.7721785427577</v>
      </c>
      <c r="AF86" s="20">
        <f>Summary!AF130</f>
        <v>1129.2261187447436</v>
      </c>
      <c r="AG86" s="20">
        <f>Summary!AG130</f>
        <v>1125.5885763810238</v>
      </c>
      <c r="AH86" s="20">
        <f>Summary!AH130</f>
        <v>1121.8786345895626</v>
      </c>
      <c r="AI86" s="20">
        <f>Summary!AI130</f>
        <v>1118.1162736571966</v>
      </c>
      <c r="AJ86" s="20">
        <f>Summary!AJ130</f>
        <v>1114.3223798585807</v>
      </c>
      <c r="AK86" s="20">
        <f>Summary!AK130</f>
        <v>1110.5187524242051</v>
      </c>
      <c r="AL86" s="20">
        <f>Summary!AL130</f>
        <v>1106.728108289745</v>
      </c>
      <c r="AM86" s="20"/>
      <c r="AN86" s="20"/>
      <c r="AO86" s="7">
        <f>ROW()</f>
        <v>86</v>
      </c>
    </row>
    <row r="87" spans="2:41" ht="13.9" customHeight="1" x14ac:dyDescent="0.2">
      <c r="B87" s="42" t="str">
        <f>Summary!B131</f>
        <v xml:space="preserve">  from Freight (Goods Movement)</v>
      </c>
      <c r="I87" s="20">
        <f t="shared" si="10"/>
        <v>521.5</v>
      </c>
      <c r="J87" s="20">
        <f t="shared" si="10"/>
        <v>535.65000000000009</v>
      </c>
      <c r="K87" s="20">
        <f t="shared" si="10"/>
        <v>549.80000000000007</v>
      </c>
      <c r="L87" s="20">
        <f t="shared" si="10"/>
        <v>513.19999999999993</v>
      </c>
      <c r="M87" s="20">
        <f t="shared" si="10"/>
        <v>455.5</v>
      </c>
      <c r="N87" s="20">
        <f t="shared" si="11"/>
        <v>474.65817041087655</v>
      </c>
      <c r="O87" s="20">
        <f t="shared" si="11"/>
        <v>485.44201533718496</v>
      </c>
      <c r="P87" s="20">
        <f>Summary!P131</f>
        <v>477.91772557756423</v>
      </c>
      <c r="Q87" s="20">
        <f>Summary!Q131</f>
        <v>476.08285672791101</v>
      </c>
      <c r="R87" s="20">
        <f>Summary!R131</f>
        <v>473.74901912227074</v>
      </c>
      <c r="S87" s="20">
        <f>Summary!S131</f>
        <v>470.91348489290465</v>
      </c>
      <c r="T87" s="20">
        <f>Summary!T131</f>
        <v>467.57452619313534</v>
      </c>
      <c r="U87" s="20">
        <f>Summary!U131</f>
        <v>463.73144417141174</v>
      </c>
      <c r="V87" s="20">
        <f>Summary!V131</f>
        <v>459.38459953801345</v>
      </c>
      <c r="W87" s="20">
        <f>Summary!W131</f>
        <v>454.53544516553802</v>
      </c>
      <c r="X87" s="20">
        <f>Summary!X131</f>
        <v>449.18656115894129</v>
      </c>
      <c r="Y87" s="20">
        <f>Summary!Y131</f>
        <v>443.34169281102294</v>
      </c>
      <c r="Z87" s="20">
        <f>Summary!Z131</f>
        <v>440.81036059793109</v>
      </c>
      <c r="AA87" s="20">
        <f>Summary!AA131</f>
        <v>438.12679972032373</v>
      </c>
      <c r="AB87" s="20">
        <f>Summary!AB131</f>
        <v>435.27999010286959</v>
      </c>
      <c r="AC87" s="20">
        <f>Summary!AC131</f>
        <v>432.26702964354166</v>
      </c>
      <c r="AD87" s="20">
        <f>Summary!AD131</f>
        <v>429.08457367771342</v>
      </c>
      <c r="AE87" s="20">
        <f>Summary!AE131</f>
        <v>427.35673298693081</v>
      </c>
      <c r="AF87" s="20">
        <f>Summary!AF131</f>
        <v>425.59273353063639</v>
      </c>
      <c r="AG87" s="20">
        <f>Summary!AG131</f>
        <v>423.79928403656226</v>
      </c>
      <c r="AH87" s="20">
        <f>Summary!AH131</f>
        <v>421.98336049395414</v>
      </c>
      <c r="AI87" s="20">
        <f>Summary!AI131</f>
        <v>420.15220576793837</v>
      </c>
      <c r="AJ87" s="20">
        <f>Summary!AJ131</f>
        <v>418.31332848303725</v>
      </c>
      <c r="AK87" s="20">
        <f>Summary!AK131</f>
        <v>416.47450106059551</v>
      </c>
      <c r="AL87" s="20">
        <f>Summary!AL131</f>
        <v>414.64375678076328</v>
      </c>
      <c r="AM87" s="20"/>
      <c r="AN87" s="20"/>
      <c r="AO87" s="7">
        <f>ROW()</f>
        <v>87</v>
      </c>
    </row>
    <row r="88" spans="2:41" ht="13.9" customHeight="1" x14ac:dyDescent="0.2">
      <c r="B88" s="42" t="str">
        <f>Summary!B132</f>
        <v xml:space="preserve">  from Aviation </v>
      </c>
      <c r="I88" s="20">
        <f t="shared" si="10"/>
        <v>235.20000000000002</v>
      </c>
      <c r="J88" s="20">
        <f t="shared" si="10"/>
        <v>231.89999999999998</v>
      </c>
      <c r="K88" s="20">
        <f t="shared" si="10"/>
        <v>228.59999999999997</v>
      </c>
      <c r="L88" s="20">
        <f t="shared" si="10"/>
        <v>216.3</v>
      </c>
      <c r="M88" s="20">
        <f t="shared" si="10"/>
        <v>195.90000000000003</v>
      </c>
      <c r="N88" s="20">
        <f t="shared" si="11"/>
        <v>212.0189694989798</v>
      </c>
      <c r="O88" s="20">
        <f t="shared" si="11"/>
        <v>212.33723904600714</v>
      </c>
      <c r="P88" s="20">
        <f>Summary!P132</f>
        <v>210.39155864576077</v>
      </c>
      <c r="Q88" s="20">
        <f>Summary!Q132</f>
        <v>209.55746508923923</v>
      </c>
      <c r="R88" s="20">
        <f>Summary!R132</f>
        <v>208.40867051971964</v>
      </c>
      <c r="S88" s="20">
        <f>Summary!S132</f>
        <v>206.9451391240132</v>
      </c>
      <c r="T88" s="20">
        <f>Summary!T132</f>
        <v>205.16803804714877</v>
      </c>
      <c r="U88" s="20">
        <f>Summary!U132</f>
        <v>203.07976317989275</v>
      </c>
      <c r="V88" s="20">
        <f>Summary!V132</f>
        <v>200.68396062752973</v>
      </c>
      <c r="W88" s="20">
        <f>Summary!W132</f>
        <v>197.98554363121912</v>
      </c>
      <c r="X88" s="20">
        <f>Summary!X132</f>
        <v>194.99070467999397</v>
      </c>
      <c r="Y88" s="20">
        <f>Summary!Y132</f>
        <v>191.70692251000682</v>
      </c>
      <c r="Z88" s="20">
        <f>Summary!Z132</f>
        <v>190.08763545484553</v>
      </c>
      <c r="AA88" s="20">
        <f>Summary!AA132</f>
        <v>188.41782778635451</v>
      </c>
      <c r="AB88" s="20">
        <f>Summary!AB132</f>
        <v>186.69487185657007</v>
      </c>
      <c r="AC88" s="20">
        <f>Summary!AC132</f>
        <v>184.92386172038258</v>
      </c>
      <c r="AD88" s="20">
        <f>Summary!AD132</f>
        <v>183.10998296431481</v>
      </c>
      <c r="AE88" s="20">
        <f>Summary!AE132</f>
        <v>181.39635287351996</v>
      </c>
      <c r="AF88" s="20">
        <f>Summary!AF132</f>
        <v>179.66133279512059</v>
      </c>
      <c r="AG88" s="20">
        <f>Summary!AG132</f>
        <v>177.91117112887846</v>
      </c>
      <c r="AH88" s="20">
        <f>Summary!AH132</f>
        <v>176.15222979636573</v>
      </c>
      <c r="AI88" s="20">
        <f>Summary!AI132</f>
        <v>174.39097649432466</v>
      </c>
      <c r="AJ88" s="20">
        <f>Summary!AJ132</f>
        <v>172.63397770702588</v>
      </c>
      <c r="AK88" s="20">
        <f>Summary!AK132</f>
        <v>170.88789262131627</v>
      </c>
      <c r="AL88" s="20">
        <f>Summary!AL132</f>
        <v>169.15946809795381</v>
      </c>
      <c r="AM88" s="20"/>
      <c r="AN88" s="20"/>
      <c r="AO88" s="7">
        <f>ROW()</f>
        <v>88</v>
      </c>
    </row>
    <row r="89" spans="2:41" ht="13.9" customHeight="1" x14ac:dyDescent="0.2">
      <c r="B89" s="42" t="str">
        <f>Summary!B133</f>
        <v xml:space="preserve">  from "Other"</v>
      </c>
      <c r="I89" s="20">
        <f t="shared" si="10"/>
        <v>1407.6478500000001</v>
      </c>
      <c r="J89" s="20">
        <f t="shared" si="10"/>
        <v>1405.2977500000002</v>
      </c>
      <c r="K89" s="20">
        <f t="shared" si="10"/>
        <v>1402.9476500000005</v>
      </c>
      <c r="L89" s="20">
        <f t="shared" si="10"/>
        <v>1375.6542599999993</v>
      </c>
      <c r="M89" s="20">
        <f t="shared" si="10"/>
        <v>1291.9709600000003</v>
      </c>
      <c r="N89" s="20">
        <f t="shared" si="11"/>
        <v>1359.7073126604112</v>
      </c>
      <c r="O89" s="20">
        <f t="shared" si="11"/>
        <v>1366.1751343464607</v>
      </c>
      <c r="P89" s="20">
        <f>Summary!P133</f>
        <v>1352.1517296839934</v>
      </c>
      <c r="Q89" s="20">
        <f>Summary!Q133</f>
        <v>1354.8553526904545</v>
      </c>
      <c r="R89" s="20">
        <f>Summary!R133</f>
        <v>1356.563827592166</v>
      </c>
      <c r="S89" s="20">
        <f>Summary!S133</f>
        <v>1357.1870462193472</v>
      </c>
      <c r="T89" s="20">
        <f>Summary!T133</f>
        <v>1356.6309912410004</v>
      </c>
      <c r="U89" s="20">
        <f>Summary!U133</f>
        <v>1354.7982560049745</v>
      </c>
      <c r="V89" s="20">
        <f>Summary!V133</f>
        <v>1351.5887248676554</v>
      </c>
      <c r="W89" s="20">
        <f>Summary!W133</f>
        <v>1346.9004308668066</v>
      </c>
      <c r="X89" s="20">
        <f>Summary!X133</f>
        <v>1340.6306055045688</v>
      </c>
      <c r="Y89" s="20">
        <f>Summary!Y133</f>
        <v>1332.6769321213826</v>
      </c>
      <c r="Z89" s="20">
        <f>Summary!Z133</f>
        <v>1331.3278662138807</v>
      </c>
      <c r="AA89" s="20">
        <f>Summary!AA133</f>
        <v>1328.7824943808005</v>
      </c>
      <c r="AB89" s="20">
        <f>Summary!AB133</f>
        <v>1324.9688054254518</v>
      </c>
      <c r="AC89" s="20">
        <f>Summary!AC133</f>
        <v>1319.934037851546</v>
      </c>
      <c r="AD89" s="20">
        <f>Summary!AD133</f>
        <v>1313.7296004958889</v>
      </c>
      <c r="AE89" s="20">
        <f>Summary!AE133</f>
        <v>1311.406001004234</v>
      </c>
      <c r="AF89" s="20">
        <f>Summary!AF133</f>
        <v>1308.4795632947221</v>
      </c>
      <c r="AG89" s="20">
        <f>Summary!AG133</f>
        <v>1305.0434238319854</v>
      </c>
      <c r="AH89" s="20">
        <f>Summary!AH133</f>
        <v>1301.1953038331765</v>
      </c>
      <c r="AI89" s="20">
        <f>Summary!AI133</f>
        <v>1297.0370406795375</v>
      </c>
      <c r="AJ89" s="20">
        <f>Summary!AJ133</f>
        <v>1292.6741156708335</v>
      </c>
      <c r="AK89" s="20">
        <f>Summary!AK133</f>
        <v>1288.2151872582308</v>
      </c>
      <c r="AL89" s="20">
        <f>Summary!AL133</f>
        <v>1283.7716393985052</v>
      </c>
      <c r="AM89" s="20"/>
      <c r="AN89" s="20"/>
      <c r="AO89" s="7">
        <f>ROW()</f>
        <v>89</v>
      </c>
    </row>
    <row r="90" spans="2:41" ht="13.9" customHeight="1" x14ac:dyDescent="0.2">
      <c r="AO90" s="7">
        <f>ROW()</f>
        <v>90</v>
      </c>
    </row>
    <row r="91" spans="2:41" ht="13.9" customHeight="1" x14ac:dyDescent="0.2">
      <c r="B91" s="9" t="s">
        <v>637</v>
      </c>
      <c r="I91" s="105">
        <f t="shared" ref="I91:AL91" si="12">SUM(I92:I96)</f>
        <v>37261.423788584056</v>
      </c>
      <c r="J91" s="105">
        <f t="shared" si="12"/>
        <v>37348.785029990766</v>
      </c>
      <c r="K91" s="105">
        <f t="shared" si="12"/>
        <v>37436.146271397476</v>
      </c>
      <c r="L91" s="105">
        <f t="shared" si="12"/>
        <v>35804.582329664911</v>
      </c>
      <c r="M91" s="105">
        <f t="shared" si="12"/>
        <v>34215.36850227222</v>
      </c>
      <c r="N91" s="105">
        <f t="shared" si="12"/>
        <v>35132.935920179618</v>
      </c>
      <c r="O91" s="105">
        <f t="shared" si="12"/>
        <v>34969.522494943201</v>
      </c>
      <c r="P91" s="105">
        <f t="shared" si="12"/>
        <v>34586.868011465725</v>
      </c>
      <c r="Q91" s="105">
        <f t="shared" si="12"/>
        <v>34601.657704034966</v>
      </c>
      <c r="R91" s="105">
        <f t="shared" si="12"/>
        <v>34583.51703185049</v>
      </c>
      <c r="S91" s="105">
        <f t="shared" si="12"/>
        <v>34531.430834470499</v>
      </c>
      <c r="T91" s="105">
        <f t="shared" si="12"/>
        <v>34444.404502914891</v>
      </c>
      <c r="U91" s="105">
        <f t="shared" si="12"/>
        <v>34321.469365337703</v>
      </c>
      <c r="V91" s="105">
        <f t="shared" si="12"/>
        <v>34161.689197250133</v>
      </c>
      <c r="W91" s="105">
        <f t="shared" si="12"/>
        <v>33964.167993167197</v>
      </c>
      <c r="X91" s="105">
        <f t="shared" si="12"/>
        <v>33728.059125505315</v>
      </c>
      <c r="Y91" s="105">
        <f t="shared" si="12"/>
        <v>33452.575997481486</v>
      </c>
      <c r="Z91" s="105">
        <f t="shared" si="12"/>
        <v>33308.359991651458</v>
      </c>
      <c r="AA91" s="105">
        <f t="shared" si="12"/>
        <v>33147.962733618057</v>
      </c>
      <c r="AB91" s="105">
        <f t="shared" si="12"/>
        <v>32970.304108421995</v>
      </c>
      <c r="AC91" s="105">
        <f t="shared" si="12"/>
        <v>32775.565963559922</v>
      </c>
      <c r="AD91" s="105">
        <f t="shared" si="12"/>
        <v>32563.934118259735</v>
      </c>
      <c r="AE91" s="105">
        <f t="shared" si="12"/>
        <v>32454.221099234819</v>
      </c>
      <c r="AF91" s="105">
        <f t="shared" si="12"/>
        <v>32338.514660441237</v>
      </c>
      <c r="AG91" s="105">
        <f t="shared" si="12"/>
        <v>32217.814966648424</v>
      </c>
      <c r="AH91" s="105">
        <f t="shared" si="12"/>
        <v>32093.167671865627</v>
      </c>
      <c r="AI91" s="105">
        <f t="shared" si="12"/>
        <v>31965.661109919882</v>
      </c>
      <c r="AJ91" s="105">
        <f t="shared" si="12"/>
        <v>31836.423430795709</v>
      </c>
      <c r="AK91" s="105">
        <f t="shared" si="12"/>
        <v>31706.619731627681</v>
      </c>
      <c r="AL91" s="105">
        <f t="shared" si="12"/>
        <v>31577.449233471292</v>
      </c>
      <c r="AO91" s="7">
        <f>ROW()</f>
        <v>91</v>
      </c>
    </row>
    <row r="92" spans="2:41" ht="13.9" customHeight="1" x14ac:dyDescent="0.2">
      <c r="B92" s="42" t="s">
        <v>17</v>
      </c>
      <c r="I92" s="369">
        <f>$H$62*I85*1000000*Parameters!$J$15*10000/(Electricity!$V$35*1000000000000)</f>
        <v>418.79001475339106</v>
      </c>
      <c r="J92" s="369">
        <f>$H$62*J85*1000000*Parameters!$J$15*10000/(Electricity!$V$35*1000000000000)</f>
        <v>419.73538425196466</v>
      </c>
      <c r="K92" s="369">
        <f>$H$62*K85*1000000*Parameters!$J$15*10000/(Electricity!$V$35*1000000000000)</f>
        <v>420.68075375053814</v>
      </c>
      <c r="L92" s="369">
        <f>$H$62*L85*1000000*Parameters!$J$15*10000/(Electricity!$V$35*1000000000000)</f>
        <v>411.57398335143569</v>
      </c>
      <c r="M92" s="369">
        <f>$H$62*M85*1000000*Parameters!$J$15*10000/(Electricity!$V$35*1000000000000)</f>
        <v>375.70198109363793</v>
      </c>
      <c r="N92" s="369">
        <f>$H$62*N85*1000000*Parameters!$J$15*10000/(Electricity!$V$35*1000000000000)</f>
        <v>394.0336278754354</v>
      </c>
      <c r="O92" s="369">
        <f>$H$62*O85*1000000*Parameters!$J$15*10000/(Electricity!$V$35*1000000000000)</f>
        <v>395.3119461556214</v>
      </c>
      <c r="P92" s="369">
        <f>$H$62*P85*1000000*Parameters!$J$15*10000/(Electricity!$V$35*1000000000000)</f>
        <v>382.99334331661021</v>
      </c>
      <c r="Q92" s="369">
        <f>$H$62*Q85*1000000*Parameters!$J$15*10000/(Electricity!$V$35*1000000000000)</f>
        <v>382.80525857171222</v>
      </c>
      <c r="R92" s="369">
        <f>$H$62*R85*1000000*Parameters!$J$15*10000/(Electricity!$V$35*1000000000000)</f>
        <v>382.34950723054675</v>
      </c>
      <c r="S92" s="369">
        <f>$H$62*S85*1000000*Parameters!$J$15*10000/(Electricity!$V$35*1000000000000)</f>
        <v>381.60374869080164</v>
      </c>
      <c r="T92" s="369">
        <f>$H$62*T85*1000000*Parameters!$J$15*10000/(Electricity!$V$35*1000000000000)</f>
        <v>380.54460059292882</v>
      </c>
      <c r="U92" s="369">
        <f>$H$62*U85*1000000*Parameters!$J$15*10000/(Electricity!$V$35*1000000000000)</f>
        <v>379.14773156698539</v>
      </c>
      <c r="V92" s="369">
        <f>$H$62*V85*1000000*Parameters!$J$15*10000/(Electricity!$V$35*1000000000000)</f>
        <v>377.38798858747339</v>
      </c>
      <c r="W92" s="369">
        <f>$H$62*W85*1000000*Parameters!$J$15*10000/(Electricity!$V$35*1000000000000)</f>
        <v>375.23956384044538</v>
      </c>
      <c r="X92" s="369">
        <f>$H$62*X85*1000000*Parameters!$J$15*10000/(Electricity!$V$35*1000000000000)</f>
        <v>372.67620603220547</v>
      </c>
      <c r="Y92" s="369">
        <f>$H$62*Y85*1000000*Parameters!$J$15*10000/(Electricity!$V$35*1000000000000)</f>
        <v>369.67148090138863</v>
      </c>
      <c r="Z92" s="369">
        <f>$H$62*Z85*1000000*Parameters!$J$15*10000/(Electricity!$V$35*1000000000000)</f>
        <v>367.75588282424042</v>
      </c>
      <c r="AA92" s="369">
        <f>$H$62*AA85*1000000*Parameters!$J$15*10000/(Electricity!$V$35*1000000000000)</f>
        <v>365.45202745304152</v>
      </c>
      <c r="AB92" s="369">
        <f>$H$62*AB85*1000000*Parameters!$J$15*10000/(Electricity!$V$35*1000000000000)</f>
        <v>362.7354031433789</v>
      </c>
      <c r="AC92" s="369">
        <f>$H$62*AC85*1000000*Parameters!$J$15*10000/(Electricity!$V$35*1000000000000)</f>
        <v>359.59741827647076</v>
      </c>
      <c r="AD92" s="369">
        <f>$H$62*AD85*1000000*Parameters!$J$15*10000/(Electricity!$V$35*1000000000000)</f>
        <v>356.0293048007149</v>
      </c>
      <c r="AE92" s="369">
        <f>$H$62*AE85*1000000*Parameters!$J$15*10000/(Electricity!$V$35*1000000000000)</f>
        <v>356.18214233697347</v>
      </c>
      <c r="AF92" s="369">
        <f>$H$62*AF85*1000000*Parameters!$J$15*10000/(Electricity!$V$35*1000000000000)</f>
        <v>356.24825763875367</v>
      </c>
      <c r="AG92" s="369">
        <f>$H$62*AG85*1000000*Parameters!$J$15*10000/(Electricity!$V$35*1000000000000)</f>
        <v>356.24081267149876</v>
      </c>
      <c r="AH92" s="369">
        <f>$H$62*AH85*1000000*Parameters!$J$15*10000/(Electricity!$V$35*1000000000000)</f>
        <v>356.17359406750967</v>
      </c>
      <c r="AI92" s="369">
        <f>$H$62*AI85*1000000*Parameters!$J$15*10000/(Electricity!$V$35*1000000000000)</f>
        <v>356.06094458763312</v>
      </c>
      <c r="AJ92" s="369">
        <f>$H$62*AJ85*1000000*Parameters!$J$15*10000/(Electricity!$V$35*1000000000000)</f>
        <v>355.91768323111739</v>
      </c>
      <c r="AK92" s="369">
        <f>$H$62*AK85*1000000*Parameters!$J$15*10000/(Electricity!$V$35*1000000000000)</f>
        <v>355.7590127260313</v>
      </c>
      <c r="AL92" s="369">
        <f>$H$62*AL85*1000000*Parameters!$J$15*10000/(Electricity!$V$35*1000000000000)</f>
        <v>355.60041295732702</v>
      </c>
      <c r="AO92" s="7">
        <f>ROW()</f>
        <v>92</v>
      </c>
    </row>
    <row r="93" spans="2:41" ht="13.9" customHeight="1" x14ac:dyDescent="0.2">
      <c r="B93" s="42" t="s">
        <v>450</v>
      </c>
      <c r="I93" s="369">
        <f>$H$63*I86/('Personal Ground Travel'!$K$25*Parameters!$J$17)*'Personal Ground Travel'!$K$22</f>
        <v>18094.316891565675</v>
      </c>
      <c r="J93" s="369">
        <f>$H$63*J86/('Personal Ground Travel'!$K$25*Parameters!$J$17)*'Personal Ground Travel'!$K$22</f>
        <v>18048.527814657456</v>
      </c>
      <c r="K93" s="369">
        <f>$H$63*K86/('Personal Ground Travel'!$K$25*Parameters!$J$17)*'Personal Ground Travel'!$K$22</f>
        <v>18002.738737749238</v>
      </c>
      <c r="L93" s="369">
        <f>$H$63*L86/('Personal Ground Travel'!$K$25*Parameters!$J$17)*'Personal Ground Travel'!$K$22</f>
        <v>17213.640312364216</v>
      </c>
      <c r="M93" s="369">
        <f>$H$63*M86/('Personal Ground Travel'!$K$25*Parameters!$J$17)*'Personal Ground Travel'!$K$22</f>
        <v>17228.903338000284</v>
      </c>
      <c r="N93" s="369">
        <f>$H$63*N86/('Personal Ground Travel'!$K$25*Parameters!$J$17)*'Personal Ground Travel'!$K$22</f>
        <v>17239.069271294276</v>
      </c>
      <c r="O93" s="369">
        <f>$H$63*O86/('Personal Ground Travel'!$K$25*Parameters!$J$17)*'Personal Ground Travel'!$K$22</f>
        <v>16884.783630849572</v>
      </c>
      <c r="P93" s="369">
        <f>$H$63*P86/('Personal Ground Travel'!$K$25*Parameters!$J$17)*'Personal Ground Travel'!$K$22</f>
        <v>16727.327884619579</v>
      </c>
      <c r="Q93" s="369">
        <f>$H$63*Q86/('Personal Ground Travel'!$K$25*Parameters!$J$17)*'Personal Ground Travel'!$K$22</f>
        <v>16763.056271483678</v>
      </c>
      <c r="R93" s="369">
        <f>$H$63*R86/('Personal Ground Travel'!$K$25*Parameters!$J$17)*'Personal Ground Travel'!$K$22</f>
        <v>16783.244000320399</v>
      </c>
      <c r="S93" s="369">
        <f>$H$63*S86/('Personal Ground Travel'!$K$25*Parameters!$J$17)*'Personal Ground Travel'!$K$22</f>
        <v>16787.469117249591</v>
      </c>
      <c r="T93" s="369">
        <f>$H$63*T86/('Personal Ground Travel'!$K$25*Parameters!$J$17)*'Personal Ground Travel'!$K$22</f>
        <v>16775.32380851611</v>
      </c>
      <c r="U93" s="369">
        <f>$H$63*U86/('Personal Ground Travel'!$K$25*Parameters!$J$17)*'Personal Ground Travel'!$K$22</f>
        <v>16746.415858962519</v>
      </c>
      <c r="V93" s="369">
        <f>$H$63*V86/('Personal Ground Travel'!$K$25*Parameters!$J$17)*'Personal Ground Travel'!$K$22</f>
        <v>16700.370289978237</v>
      </c>
      <c r="W93" s="369">
        <f>$H$63*W86/('Personal Ground Travel'!$K$25*Parameters!$J$17)*'Personal Ground Travel'!$K$22</f>
        <v>16636.831206381947</v>
      </c>
      <c r="X93" s="369">
        <f>$H$63*X86/('Personal Ground Travel'!$K$25*Parameters!$J$17)*'Personal Ground Travel'!$K$22</f>
        <v>16555.463883512562</v>
      </c>
      <c r="Y93" s="369">
        <f>$H$63*Y86/('Personal Ground Travel'!$K$25*Parameters!$J$17)*'Personal Ground Travel'!$K$22</f>
        <v>16455.957127196831</v>
      </c>
      <c r="Z93" s="369">
        <f>$H$63*Z86/('Personal Ground Travel'!$K$25*Parameters!$J$17)*'Personal Ground Travel'!$K$22</f>
        <v>16378.948575471211</v>
      </c>
      <c r="AA93" s="369">
        <f>$H$63*AA86/('Personal Ground Travel'!$K$25*Parameters!$J$17)*'Personal Ground Travel'!$K$22</f>
        <v>16296.01160399883</v>
      </c>
      <c r="AB93" s="369">
        <f>$H$63*AB86/('Personal Ground Travel'!$K$25*Parameters!$J$17)*'Personal Ground Travel'!$K$22</f>
        <v>16206.703852788993</v>
      </c>
      <c r="AC93" s="369">
        <f>$H$63*AC86/('Personal Ground Travel'!$K$25*Parameters!$J$17)*'Personal Ground Travel'!$K$22</f>
        <v>16110.903879950059</v>
      </c>
      <c r="AD93" s="369">
        <f>$H$63*AD86/('Personal Ground Travel'!$K$25*Parameters!$J$17)*'Personal Ground Travel'!$K$22</f>
        <v>16008.474448285322</v>
      </c>
      <c r="AE93" s="369">
        <f>$H$63*AE86/('Personal Ground Travel'!$K$25*Parameters!$J$17)*'Personal Ground Travel'!$K$22</f>
        <v>15960.057971872484</v>
      </c>
      <c r="AF93" s="369">
        <f>$H$63*AF86/('Personal Ground Travel'!$K$25*Parameters!$J$17)*'Personal Ground Travel'!$K$22</f>
        <v>15910.096186952203</v>
      </c>
      <c r="AG93" s="369">
        <f>$H$63*AG86/('Personal Ground Travel'!$K$25*Parameters!$J$17)*'Personal Ground Travel'!$K$22</f>
        <v>15858.845469376498</v>
      </c>
      <c r="AH93" s="369">
        <f>$H$63*AH86/('Personal Ground Travel'!$K$25*Parameters!$J$17)*'Personal Ground Travel'!$K$22</f>
        <v>15806.574688732713</v>
      </c>
      <c r="AI93" s="369">
        <f>$H$63*AI86/('Personal Ground Travel'!$K$25*Parameters!$J$17)*'Personal Ground Travel'!$K$22</f>
        <v>15753.565354879795</v>
      </c>
      <c r="AJ93" s="369">
        <f>$H$63*AJ86/('Personal Ground Travel'!$K$25*Parameters!$J$17)*'Personal Ground Travel'!$K$22</f>
        <v>15700.111742483583</v>
      </c>
      <c r="AK93" s="369">
        <f>$H$63*AK86/('Personal Ground Travel'!$K$25*Parameters!$J$17)*'Personal Ground Travel'!$K$22</f>
        <v>15646.520989191838</v>
      </c>
      <c r="AL93" s="369">
        <f>$H$63*AL86/('Personal Ground Travel'!$K$25*Parameters!$J$17)*'Personal Ground Travel'!$K$22</f>
        <v>15593.113162549633</v>
      </c>
      <c r="AO93" s="7">
        <f>ROW()</f>
        <v>93</v>
      </c>
    </row>
    <row r="94" spans="2:41" ht="13.9" customHeight="1" x14ac:dyDescent="0.2">
      <c r="B94" s="42" t="s">
        <v>296</v>
      </c>
      <c r="I94" s="369">
        <f>$H$64*I87/(Freight!$K$25*Parameters!$J$17)*Freight!$K$22</f>
        <v>7100.6364945349824</v>
      </c>
      <c r="J94" s="369">
        <f>$H$64*J87/(Freight!$K$25*Parameters!$J$17)*Freight!$K$22</f>
        <v>7293.2999775602375</v>
      </c>
      <c r="K94" s="369">
        <f>$H$64*K87/(Freight!$K$25*Parameters!$J$17)*Freight!$K$22</f>
        <v>7485.9634605854917</v>
      </c>
      <c r="L94" s="369">
        <f>$H$64*L87/(Freight!$K$25*Parameters!$J$17)*Freight!$K$22</f>
        <v>6987.6254055519703</v>
      </c>
      <c r="M94" s="369">
        <f>$H$64*M87/(Freight!$K$25*Parameters!$J$17)*Freight!$K$22</f>
        <v>6201.9941002122423</v>
      </c>
      <c r="N94" s="369">
        <f>$H$64*N87/(Freight!$K$25*Parameters!$J$17)*Freight!$K$22</f>
        <v>6462.8477991345635</v>
      </c>
      <c r="O94" s="369">
        <f>$H$64*O87/(Freight!$K$25*Parameters!$J$17)*Freight!$K$22</f>
        <v>6609.6784085979407</v>
      </c>
      <c r="P94" s="369">
        <f>$H$64*P87/(Freight!$K$25*Parameters!$J$17)*Freight!$K$22</f>
        <v>6507.2292303378854</v>
      </c>
      <c r="Q94" s="369">
        <f>$H$64*Q87/(Freight!$K$25*Parameters!$J$17)*Freight!$K$22</f>
        <v>6482.2460343330276</v>
      </c>
      <c r="R94" s="369">
        <f>$H$64*R87/(Freight!$K$25*Parameters!$J$17)*Freight!$K$22</f>
        <v>6450.4689826073763</v>
      </c>
      <c r="S94" s="369">
        <f>$H$64*S87/(Freight!$K$25*Parameters!$J$17)*Freight!$K$22</f>
        <v>6411.8609330761392</v>
      </c>
      <c r="T94" s="369">
        <f>$H$64*T87/(Freight!$K$25*Parameters!$J$17)*Freight!$K$22</f>
        <v>6366.398359735148</v>
      </c>
      <c r="U94" s="369">
        <f>$H$64*U87/(Freight!$K$25*Parameters!$J$17)*Freight!$K$22</f>
        <v>6314.071747165749</v>
      </c>
      <c r="V94" s="369">
        <f>$H$64*V87/(Freight!$K$25*Parameters!$J$17)*Freight!$K$22</f>
        <v>6254.8860067247479</v>
      </c>
      <c r="W94" s="369">
        <f>$H$64*W87/(Freight!$K$25*Parameters!$J$17)*Freight!$K$22</f>
        <v>6188.8609204259328</v>
      </c>
      <c r="X94" s="369">
        <f>$H$64*X87/(Freight!$K$25*Parameters!$J$17)*Freight!$K$22</f>
        <v>6116.0316184464973</v>
      </c>
      <c r="Y94" s="369">
        <f>$H$64*Y87/(Freight!$K$25*Parameters!$J$17)*Freight!$K$22</f>
        <v>6036.4490959211253</v>
      </c>
      <c r="Z94" s="369">
        <f>$H$64*Z87/(Freight!$K$25*Parameters!$J$17)*Freight!$K$22</f>
        <v>6001.9829983332602</v>
      </c>
      <c r="AA94" s="369">
        <f>$H$64*AA87/(Freight!$K$25*Parameters!$J$17)*Freight!$K$22</f>
        <v>5965.4441866307761</v>
      </c>
      <c r="AB94" s="369">
        <f>$H$64*AB87/(Freight!$K$25*Parameters!$J$17)*Freight!$K$22</f>
        <v>5926.6826137397156</v>
      </c>
      <c r="AC94" s="369">
        <f>$H$64*AC87/(Freight!$K$25*Parameters!$J$17)*Freight!$K$22</f>
        <v>5885.6587652371372</v>
      </c>
      <c r="AD94" s="369">
        <f>$H$64*AD87/(Freight!$K$25*Parameters!$J$17)*Freight!$K$22</f>
        <v>5842.3271008589763</v>
      </c>
      <c r="AE94" s="369">
        <f>$H$64*AE87/(Freight!$K$25*Parameters!$J$17)*Freight!$K$22</f>
        <v>5818.8011782018075</v>
      </c>
      <c r="AF94" s="369">
        <f>$H$64*AF87/(Freight!$K$25*Parameters!$J$17)*Freight!$K$22</f>
        <v>5794.7829252474385</v>
      </c>
      <c r="AG94" s="369">
        <f>$H$64*AG87/(Freight!$K$25*Parameters!$J$17)*Freight!$K$22</f>
        <v>5770.3636866496845</v>
      </c>
      <c r="AH94" s="369">
        <f>$H$64*AH87/(Freight!$K$25*Parameters!$J$17)*Freight!$K$22</f>
        <v>5745.6384460400423</v>
      </c>
      <c r="AI94" s="369">
        <f>$H$64*AI87/(Freight!$K$25*Parameters!$J$17)*Freight!$K$22</f>
        <v>5720.7058207769787</v>
      </c>
      <c r="AJ94" s="369">
        <f>$H$64*AJ87/(Freight!$K$25*Parameters!$J$17)*Freight!$K$22</f>
        <v>5695.668046744112</v>
      </c>
      <c r="AK94" s="369">
        <f>$H$64*AK87/(Freight!$K$25*Parameters!$J$17)*Freight!$K$22</f>
        <v>5670.6309516282117</v>
      </c>
      <c r="AL94" s="369">
        <f>$H$64*AL87/(Freight!$K$25*Parameters!$J$17)*Freight!$K$22</f>
        <v>5645.7039149157717</v>
      </c>
      <c r="AO94" s="7">
        <f>ROW()</f>
        <v>94</v>
      </c>
    </row>
    <row r="95" spans="2:41" ht="13.9" customHeight="1" x14ac:dyDescent="0.2">
      <c r="B95" s="42" t="s">
        <v>31</v>
      </c>
      <c r="I95" s="369">
        <f>$H$65*I88/(Aviation!$K$25*Parameters!$J$17)*Aviation!$K$22</f>
        <v>3317.8683385579939</v>
      </c>
      <c r="J95" s="369">
        <f>$H$65*J88/(Aviation!$K$25*Parameters!$J$17)*Aviation!$K$22</f>
        <v>3271.3166144200623</v>
      </c>
      <c r="K95" s="369">
        <f>$H$65*K88/(Aviation!$K$25*Parameters!$J$17)*Aviation!$K$22</f>
        <v>3224.7648902821311</v>
      </c>
      <c r="L95" s="369">
        <f>$H$65*L88/(Aviation!$K$25*Parameters!$J$17)*Aviation!$K$22</f>
        <v>3051.253918495298</v>
      </c>
      <c r="M95" s="369">
        <f>$H$65*M88/(Aviation!$K$25*Parameters!$J$17)*Aviation!$K$22</f>
        <v>2763.4796238244517</v>
      </c>
      <c r="N95" s="369">
        <f>$H$65*N88/(Aviation!$K$25*Parameters!$J$17)*Aviation!$K$22</f>
        <v>2990.863206098461</v>
      </c>
      <c r="O95" s="369">
        <f>$H$65*O88/(Aviation!$K$25*Parameters!$J$17)*Aviation!$K$22</f>
        <v>2995.352901902922</v>
      </c>
      <c r="P95" s="369">
        <f>$H$65*P88/(Aviation!$K$25*Parameters!$J$17)*Aviation!$K$22</f>
        <v>2967.9059997050895</v>
      </c>
      <c r="Q95" s="369">
        <f>$H$65*Q88/(Aviation!$K$25*Parameters!$J$17)*Aviation!$K$22</f>
        <v>2956.1397896601147</v>
      </c>
      <c r="R95" s="369">
        <f>$H$65*R88/(Aviation!$K$25*Parameters!$J$17)*Aviation!$K$22</f>
        <v>2939.9342236324082</v>
      </c>
      <c r="S95" s="369">
        <f>$H$65*S88/(Aviation!$K$25*Parameters!$J$17)*Aviation!$K$22</f>
        <v>2919.2887964202491</v>
      </c>
      <c r="T95" s="369">
        <f>$H$65*T88/(Aviation!$K$25*Parameters!$J$17)*Aviation!$K$22</f>
        <v>2894.2199724519419</v>
      </c>
      <c r="U95" s="369">
        <f>$H$65*U88/(Aviation!$K$25*Parameters!$J$17)*Aviation!$K$22</f>
        <v>2864.7615495596156</v>
      </c>
      <c r="V95" s="369">
        <f>$H$65*V88/(Aviation!$K$25*Parameters!$J$17)*Aviation!$K$22</f>
        <v>2830.9649618303565</v>
      </c>
      <c r="W95" s="369">
        <f>$H$65*W88/(Aviation!$K$25*Parameters!$J$17)*Aviation!$K$22</f>
        <v>2792.8995183087336</v>
      </c>
      <c r="X95" s="369">
        <f>$H$65*X88/(Aviation!$K$25*Parameters!$J$17)*Aviation!$K$22</f>
        <v>2750.6525738557143</v>
      </c>
      <c r="Y95" s="369">
        <f>$H$65*Y88/(Aviation!$K$25*Parameters!$J$17)*Aviation!$K$22</f>
        <v>2704.3296278841085</v>
      </c>
      <c r="Z95" s="369">
        <f>$H$65*Z88/(Aviation!$K$25*Parameters!$J$17)*Aviation!$K$22</f>
        <v>2681.487020522899</v>
      </c>
      <c r="AA95" s="369">
        <f>$H$65*AA88/(Aviation!$K$25*Parameters!$J$17)*Aviation!$K$22</f>
        <v>2657.9317399329007</v>
      </c>
      <c r="AB95" s="369">
        <f>$H$65*AB88/(Aviation!$K$25*Parameters!$J$17)*Aviation!$K$22</f>
        <v>2633.6267189798286</v>
      </c>
      <c r="AC95" s="369">
        <f>$H$65*AC88/(Aviation!$K$25*Parameters!$J$17)*Aviation!$K$22</f>
        <v>2608.6438173721676</v>
      </c>
      <c r="AD95" s="369">
        <f>$H$65*AD88/(Aviation!$K$25*Parameters!$J$17)*Aviation!$K$22</f>
        <v>2583.0561860169801</v>
      </c>
      <c r="AE95" s="369">
        <f>$H$65*AE88/(Aviation!$K$25*Parameters!$J$17)*Aviation!$K$22</f>
        <v>2558.8827207863319</v>
      </c>
      <c r="AF95" s="369">
        <f>$H$65*AF88/(Aviation!$K$25*Parameters!$J$17)*Aviation!$K$22</f>
        <v>2534.4075159186291</v>
      </c>
      <c r="AG95" s="369">
        <f>$H$65*AG88/(Aviation!$K$25*Parameters!$J$17)*Aviation!$K$22</f>
        <v>2509.7187149841789</v>
      </c>
      <c r="AH95" s="369">
        <f>$H$65*AH88/(Aviation!$K$25*Parameters!$J$17)*Aviation!$K$22</f>
        <v>2484.9060629581372</v>
      </c>
      <c r="AI95" s="369">
        <f>$H$65*AI88/(Aviation!$K$25*Parameters!$J$17)*Aviation!$K$22</f>
        <v>2460.0607969418843</v>
      </c>
      <c r="AJ95" s="369">
        <f>$H$65*AJ88/(Aviation!$K$25*Parameters!$J$17)*Aviation!$K$22</f>
        <v>2435.2755475912741</v>
      </c>
      <c r="AK95" s="369">
        <f>$H$65*AK88/(Aviation!$K$25*Parameters!$J$17)*Aviation!$K$22</f>
        <v>2410.6442532787564</v>
      </c>
      <c r="AL95" s="369">
        <f>$H$65*AL88/(Aviation!$K$25*Parameters!$J$17)*Aviation!$K$22</f>
        <v>2386.2620891560882</v>
      </c>
      <c r="AO95" s="7">
        <f>ROW()</f>
        <v>95</v>
      </c>
    </row>
    <row r="96" spans="2:41" ht="13.9" customHeight="1" x14ac:dyDescent="0.2">
      <c r="B96" s="42" t="s">
        <v>35</v>
      </c>
      <c r="I96" s="369">
        <f>$H$66*I89/('Personal Ground Travel'!$K$25*Parameters!$J$17)*'Personal Ground Travel'!$K$22</f>
        <v>8329.8120491720165</v>
      </c>
      <c r="J96" s="369">
        <f>$H$66*J89/('Personal Ground Travel'!$K$25*Parameters!$J$17)*'Personal Ground Travel'!$K$22</f>
        <v>8315.9052391010464</v>
      </c>
      <c r="K96" s="369">
        <f>$H$66*K89/('Personal Ground Travel'!$K$25*Parameters!$J$17)*'Personal Ground Travel'!$K$22</f>
        <v>8301.9984290300818</v>
      </c>
      <c r="L96" s="369">
        <f>$H$66*L89/('Personal Ground Travel'!$K$25*Parameters!$J$17)*'Personal Ground Travel'!$K$22</f>
        <v>8140.4887099019888</v>
      </c>
      <c r="M96" s="369">
        <f>$H$66*M89/('Personal Ground Travel'!$K$25*Parameters!$J$17)*'Personal Ground Travel'!$K$22</f>
        <v>7645.2894591416034</v>
      </c>
      <c r="N96" s="369">
        <f>$H$66*N89/('Personal Ground Travel'!$K$25*Parameters!$J$17)*'Personal Ground Travel'!$K$22</f>
        <v>8046.122015776883</v>
      </c>
      <c r="O96" s="369">
        <f>$H$66*O89/('Personal Ground Travel'!$K$25*Parameters!$J$17)*'Personal Ground Travel'!$K$22</f>
        <v>8084.395607437149</v>
      </c>
      <c r="P96" s="369">
        <f>$H$66*P89/('Personal Ground Travel'!$K$25*Parameters!$J$17)*'Personal Ground Travel'!$K$22</f>
        <v>8001.4115534865578</v>
      </c>
      <c r="Q96" s="369">
        <f>$H$66*Q89/('Personal Ground Travel'!$K$25*Parameters!$J$17)*'Personal Ground Travel'!$K$22</f>
        <v>8017.4103499864341</v>
      </c>
      <c r="R96" s="369">
        <f>$H$66*R89/('Personal Ground Travel'!$K$25*Parameters!$J$17)*'Personal Ground Travel'!$K$22</f>
        <v>8027.5203180597591</v>
      </c>
      <c r="S96" s="369">
        <f>$H$66*S89/('Personal Ground Travel'!$K$25*Parameters!$J$17)*'Personal Ground Travel'!$K$22</f>
        <v>8031.2082390337173</v>
      </c>
      <c r="T96" s="369">
        <f>$H$66*T89/('Personal Ground Travel'!$K$25*Parameters!$J$17)*'Personal Ground Travel'!$K$22</f>
        <v>8027.9177616187608</v>
      </c>
      <c r="U96" s="369">
        <f>$H$66*U89/('Personal Ground Travel'!$K$25*Parameters!$J$17)*'Personal Ground Travel'!$K$22</f>
        <v>8017.0724780828332</v>
      </c>
      <c r="V96" s="369">
        <f>$H$66*V89/('Personal Ground Travel'!$K$25*Parameters!$J$17)*'Personal Ground Travel'!$K$22</f>
        <v>7998.079950129315</v>
      </c>
      <c r="W96" s="369">
        <f>$H$66*W89/('Personal Ground Travel'!$K$25*Parameters!$J$17)*'Personal Ground Travel'!$K$22</f>
        <v>7970.3367842101325</v>
      </c>
      <c r="X96" s="369">
        <f>$H$66*X89/('Personal Ground Travel'!$K$25*Parameters!$J$17)*'Personal Ground Travel'!$K$22</f>
        <v>7933.2348436583306</v>
      </c>
      <c r="Y96" s="369">
        <f>$H$66*Y89/('Personal Ground Travel'!$K$25*Parameters!$J$17)*'Personal Ground Travel'!$K$22</f>
        <v>7886.168665578035</v>
      </c>
      <c r="Z96" s="369">
        <f>$H$66*Z89/('Personal Ground Travel'!$K$25*Parameters!$J$17)*'Personal Ground Travel'!$K$22</f>
        <v>7878.1855144998462</v>
      </c>
      <c r="AA96" s="369">
        <f>$H$66*AA89/('Personal Ground Travel'!$K$25*Parameters!$J$17)*'Personal Ground Travel'!$K$22</f>
        <v>7863.1231756025063</v>
      </c>
      <c r="AB96" s="369">
        <f>$H$66*AB89/('Personal Ground Travel'!$K$25*Parameters!$J$17)*'Personal Ground Travel'!$K$22</f>
        <v>7840.5555197700787</v>
      </c>
      <c r="AC96" s="369">
        <f>$H$66*AC89/('Personal Ground Travel'!$K$25*Parameters!$J$17)*'Personal Ground Travel'!$K$22</f>
        <v>7810.7620827240853</v>
      </c>
      <c r="AD96" s="369">
        <f>$H$66*AD89/('Personal Ground Travel'!$K$25*Parameters!$J$17)*'Personal Ground Travel'!$K$22</f>
        <v>7774.04707829774</v>
      </c>
      <c r="AE96" s="369">
        <f>$H$66*AE89/('Personal Ground Travel'!$K$25*Parameters!$J$17)*'Personal Ground Travel'!$K$22</f>
        <v>7760.2970860372207</v>
      </c>
      <c r="AF96" s="369">
        <f>$H$66*AF89/('Personal Ground Travel'!$K$25*Parameters!$J$17)*'Personal Ground Travel'!$K$22</f>
        <v>7742.9797746842114</v>
      </c>
      <c r="AG96" s="369">
        <f>$H$66*AG89/('Personal Ground Travel'!$K$25*Parameters!$J$17)*'Personal Ground Travel'!$K$22</f>
        <v>7722.6462829665643</v>
      </c>
      <c r="AH96" s="369">
        <f>$H$66*AH89/('Personal Ground Travel'!$K$25*Parameters!$J$17)*'Personal Ground Travel'!$K$22</f>
        <v>7699.8748800672247</v>
      </c>
      <c r="AI96" s="369">
        <f>$H$66*AI89/('Personal Ground Travel'!$K$25*Parameters!$J$17)*'Personal Ground Travel'!$K$22</f>
        <v>7675.2681927335916</v>
      </c>
      <c r="AJ96" s="369">
        <f>$H$66*AJ89/('Personal Ground Travel'!$K$25*Parameters!$J$17)*'Personal Ground Travel'!$K$22</f>
        <v>7649.4504107456223</v>
      </c>
      <c r="AK96" s="369">
        <f>$H$66*AK89/('Personal Ground Travel'!$K$25*Parameters!$J$17)*'Personal Ground Travel'!$K$22</f>
        <v>7623.064524802845</v>
      </c>
      <c r="AL96" s="369">
        <f>$H$66*AL89/('Personal Ground Travel'!$K$25*Parameters!$J$17)*'Personal Ground Travel'!$K$22</f>
        <v>7596.769653892472</v>
      </c>
      <c r="AO96" s="7">
        <f>ROW()</f>
        <v>96</v>
      </c>
    </row>
    <row r="97" spans="2:41" ht="13.9" customHeight="1" x14ac:dyDescent="0.2">
      <c r="AO97" s="7">
        <f>ROW()</f>
        <v>97</v>
      </c>
    </row>
    <row r="98" spans="2:41" ht="13.9" customHeight="1" x14ac:dyDescent="0.2">
      <c r="B98" s="9" t="s">
        <v>638</v>
      </c>
      <c r="I98" s="27">
        <f t="shared" ref="I98:O98" si="13">SUM(I99:I103)</f>
        <v>20275.414164397465</v>
      </c>
      <c r="J98" s="27">
        <f t="shared" si="13"/>
        <v>20310.541796050304</v>
      </c>
      <c r="K98" s="27">
        <f t="shared" si="13"/>
        <v>20345.669427703146</v>
      </c>
      <c r="L98" s="27">
        <f t="shared" si="13"/>
        <v>19501.139827015551</v>
      </c>
      <c r="M98" s="27">
        <f t="shared" si="13"/>
        <v>18645.204131471633</v>
      </c>
      <c r="N98" s="27">
        <f t="shared" si="13"/>
        <v>19165.946661645201</v>
      </c>
      <c r="O98" s="27">
        <f t="shared" si="13"/>
        <v>19079.198832002687</v>
      </c>
      <c r="P98" s="27">
        <f t="shared" ref="P98:AL98" si="14">SUM(P99:P103)</f>
        <v>18873.29146760044</v>
      </c>
      <c r="Q98" s="27">
        <f t="shared" si="14"/>
        <v>18885.373471396342</v>
      </c>
      <c r="R98" s="27">
        <f t="shared" si="14"/>
        <v>18879.854481580951</v>
      </c>
      <c r="S98" s="27">
        <f t="shared" si="14"/>
        <v>18856.121309647417</v>
      </c>
      <c r="T98" s="27">
        <f t="shared" si="14"/>
        <v>18813.566427560894</v>
      </c>
      <c r="U98" s="27">
        <f t="shared" si="14"/>
        <v>18751.59123948518</v>
      </c>
      <c r="V98" s="27">
        <f t="shared" si="14"/>
        <v>18669.610094205556</v>
      </c>
      <c r="W98" s="27">
        <f t="shared" si="14"/>
        <v>18567.055125412913</v>
      </c>
      <c r="X98" s="27">
        <f t="shared" si="14"/>
        <v>18443.381999249035</v>
      </c>
      <c r="Y98" s="27">
        <f t="shared" si="14"/>
        <v>18298.076635424808</v>
      </c>
      <c r="Z98" s="27">
        <f t="shared" si="14"/>
        <v>18224.34392117316</v>
      </c>
      <c r="AA98" s="27">
        <f t="shared" si="14"/>
        <v>18141.175423123292</v>
      </c>
      <c r="AB98" s="27">
        <f t="shared" si="14"/>
        <v>18047.948986825031</v>
      </c>
      <c r="AC98" s="27">
        <f t="shared" si="14"/>
        <v>17944.805225134838</v>
      </c>
      <c r="AD98" s="27">
        <f t="shared" si="14"/>
        <v>17831.891140881628</v>
      </c>
      <c r="AE98" s="27">
        <f t="shared" si="14"/>
        <v>17774.535845905462</v>
      </c>
      <c r="AF98" s="27">
        <f t="shared" si="14"/>
        <v>17713.513492821014</v>
      </c>
      <c r="AG98" s="27">
        <f t="shared" si="14"/>
        <v>17649.426973098416</v>
      </c>
      <c r="AH98" s="27">
        <f t="shared" si="14"/>
        <v>17582.907053764651</v>
      </c>
      <c r="AI98" s="27">
        <f t="shared" si="14"/>
        <v>17514.61046744241</v>
      </c>
      <c r="AJ98" s="27">
        <f t="shared" si="14"/>
        <v>17445.217971547296</v>
      </c>
      <c r="AK98" s="27">
        <f t="shared" si="14"/>
        <v>17375.432411107671</v>
      </c>
      <c r="AL98" s="27">
        <f t="shared" si="14"/>
        <v>17305.976821346976</v>
      </c>
      <c r="AO98" s="7">
        <f>ROW()</f>
        <v>98</v>
      </c>
    </row>
    <row r="99" spans="2:41" ht="13.9" customHeight="1" x14ac:dyDescent="0.2">
      <c r="B99" s="42" t="s">
        <v>4</v>
      </c>
      <c r="I99" s="44">
        <f>I92*1000000000000/(Emissions!$I$144*1000000*Parameters!$J$19*1000)</f>
        <v>185.38857706155244</v>
      </c>
      <c r="J99" s="44">
        <f>J92*1000000000000/(Emissions!$I$144*1000000*Parameters!$J$19*1000)</f>
        <v>185.80707010093678</v>
      </c>
      <c r="K99" s="44">
        <f>K92*1000000000000/(Emissions!$I$144*1000000*Parameters!$J$19*1000)</f>
        <v>186.22556314032104</v>
      </c>
      <c r="L99" s="44">
        <f>L92*1000000000000/(Emissions!$I$144*1000000*Parameters!$J$19*1000)</f>
        <v>182.19420817377525</v>
      </c>
      <c r="M99" s="44">
        <f>M92*1000000000000/(Emissions!$I$144*1000000*Parameters!$J$19*1000)</f>
        <v>166.3145089912673</v>
      </c>
      <c r="N99" s="44">
        <f>N92*1000000000000/(Emissions!$I$144*1000000*Parameters!$J$19*1000)</f>
        <v>174.42950169011098</v>
      </c>
      <c r="O99" s="44">
        <f>O92*1000000000000/(Emissions!$I$144*1000000*Parameters!$J$19*1000)</f>
        <v>174.99538339370176</v>
      </c>
      <c r="P99" s="44">
        <f>P92*1000000000000/(Emissions!$I$144*1000000*Parameters!$J$19*1000)</f>
        <v>169.54222507746186</v>
      </c>
      <c r="Q99" s="44">
        <f>Q92*1000000000000/(Emissions!$I$144*1000000*Parameters!$J$19*1000)</f>
        <v>169.45896434536405</v>
      </c>
      <c r="R99" s="44">
        <f>R92*1000000000000/(Emissions!$I$144*1000000*Parameters!$J$19*1000)</f>
        <v>169.25721385071029</v>
      </c>
      <c r="S99" s="44">
        <f>S92*1000000000000/(Emissions!$I$144*1000000*Parameters!$J$19*1000)</f>
        <v>168.9270839296417</v>
      </c>
      <c r="T99" s="44">
        <f>T92*1000000000000/(Emissions!$I$144*1000000*Parameters!$J$19*1000)</f>
        <v>168.45822375665568</v>
      </c>
      <c r="U99" s="44">
        <f>U92*1000000000000/(Emissions!$I$144*1000000*Parameters!$J$19*1000)</f>
        <v>167.8398624014703</v>
      </c>
      <c r="V99" s="44">
        <f>V92*1000000000000/(Emissions!$I$144*1000000*Parameters!$J$19*1000)</f>
        <v>167.06086520604313</v>
      </c>
      <c r="W99" s="44">
        <f>W92*1000000000000/(Emissions!$I$144*1000000*Parameters!$J$19*1000)</f>
        <v>166.10980765274908</v>
      </c>
      <c r="X99" s="44">
        <f>X92*1000000000000/(Emissions!$I$144*1000000*Parameters!$J$19*1000)</f>
        <v>164.97506890581633</v>
      </c>
      <c r="Y99" s="44">
        <f>Y92*1000000000000/(Emissions!$I$144*1000000*Parameters!$J$19*1000)</f>
        <v>163.64494713395115</v>
      </c>
      <c r="Z99" s="44">
        <f>Z92*1000000000000/(Emissions!$I$144*1000000*Parameters!$J$19*1000)</f>
        <v>162.79695651995937</v>
      </c>
      <c r="AA99" s="44">
        <f>AA92*1000000000000/(Emissions!$I$144*1000000*Parameters!$J$19*1000)</f>
        <v>161.7770934526088</v>
      </c>
      <c r="AB99" s="44">
        <f>AB92*1000000000000/(Emissions!$I$144*1000000*Parameters!$J$19*1000)</f>
        <v>160.57450719831201</v>
      </c>
      <c r="AC99" s="44">
        <f>AC92*1000000000000/(Emissions!$I$144*1000000*Parameters!$J$19*1000)</f>
        <v>159.18539444771469</v>
      </c>
      <c r="AD99" s="44">
        <f>AD92*1000000000000/(Emissions!$I$144*1000000*Parameters!$J$19*1000)</f>
        <v>157.60587378876571</v>
      </c>
      <c r="AE99" s="44">
        <f>AE92*1000000000000/(Emissions!$I$144*1000000*Parameters!$J$19*1000)</f>
        <v>157.67353140325125</v>
      </c>
      <c r="AF99" s="44">
        <f>AF92*1000000000000/(Emissions!$I$144*1000000*Parameters!$J$19*1000)</f>
        <v>157.70279910612672</v>
      </c>
      <c r="AG99" s="44">
        <f>AG92*1000000000000/(Emissions!$I$144*1000000*Parameters!$J$19*1000)</f>
        <v>157.69950339267359</v>
      </c>
      <c r="AH99" s="44">
        <f>AH92*1000000000000/(Emissions!$I$144*1000000*Parameters!$J$19*1000)</f>
        <v>157.66974728362945</v>
      </c>
      <c r="AI99" s="44">
        <f>AI92*1000000000000/(Emissions!$I$144*1000000*Parameters!$J$19*1000)</f>
        <v>157.61987998487513</v>
      </c>
      <c r="AJ99" s="44">
        <f>AJ92*1000000000000/(Emissions!$I$144*1000000*Parameters!$J$19*1000)</f>
        <v>157.55646152193015</v>
      </c>
      <c r="AK99" s="44">
        <f>AK92*1000000000000/(Emissions!$I$144*1000000*Parameters!$J$19*1000)</f>
        <v>157.4862217881178</v>
      </c>
      <c r="AL99" s="44">
        <f>AL92*1000000000000/(Emissions!$I$144*1000000*Parameters!$J$19*1000)</f>
        <v>157.41601336765274</v>
      </c>
      <c r="AO99" s="7">
        <f>ROW()</f>
        <v>99</v>
      </c>
    </row>
    <row r="100" spans="2:41" ht="13.9" customHeight="1" x14ac:dyDescent="0.2">
      <c r="B100" s="42" t="s">
        <v>450</v>
      </c>
      <c r="I100" s="44">
        <f>(I93*1000000000/'Personal Ground Travel'!$K$22)/(Parameters!$J$18*Parameters!$J$19)</f>
        <v>9437.1732221200018</v>
      </c>
      <c r="J100" s="44">
        <f>(J93*1000000000/'Personal Ground Travel'!$K$22)/(Parameters!$J$18*Parameters!$J$19)</f>
        <v>9413.2917209252682</v>
      </c>
      <c r="K100" s="44">
        <f>(K93*1000000000/'Personal Ground Travel'!$K$22)/(Parameters!$J$18*Parameters!$J$19)</f>
        <v>9389.4102197305328</v>
      </c>
      <c r="L100" s="44">
        <f>(L93*1000000000/'Personal Ground Travel'!$K$22)/(Parameters!$J$18*Parameters!$J$19)</f>
        <v>8977.8523491412416</v>
      </c>
      <c r="M100" s="44">
        <f>(M93*1000000000/'Personal Ground Travel'!$K$22)/(Parameters!$J$18*Parameters!$J$19)</f>
        <v>8985.8128495394849</v>
      </c>
      <c r="N100" s="44">
        <f>(N93*1000000000/'Personal Ground Travel'!$K$22)/(Parameters!$J$18*Parameters!$J$19)</f>
        <v>8991.114938257997</v>
      </c>
      <c r="O100" s="44">
        <f>(O93*1000000000/'Personal Ground Travel'!$K$22)/(Parameters!$J$18*Parameters!$J$19)</f>
        <v>8806.3356520863872</v>
      </c>
      <c r="P100" s="44">
        <f>(P93*1000000000/'Personal Ground Travel'!$K$22)/(Parameters!$J$18*Parameters!$J$19)</f>
        <v>8724.2138919284625</v>
      </c>
      <c r="Q100" s="44">
        <f>(Q93*1000000000/'Personal Ground Travel'!$K$22)/(Parameters!$J$18*Parameters!$J$19)</f>
        <v>8742.8481945000403</v>
      </c>
      <c r="R100" s="44">
        <f>(R93*1000000000/'Personal Ground Travel'!$K$22)/(Parameters!$J$18*Parameters!$J$19)</f>
        <v>8753.3771962377141</v>
      </c>
      <c r="S100" s="44">
        <f>(S93*1000000000/'Personal Ground Travel'!$K$22)/(Parameters!$J$18*Parameters!$J$19)</f>
        <v>8755.5808251773105</v>
      </c>
      <c r="T100" s="44">
        <f>(T93*1000000000/'Personal Ground Travel'!$K$22)/(Parameters!$J$18*Parameters!$J$19)</f>
        <v>8749.2463842011275</v>
      </c>
      <c r="U100" s="44">
        <f>(U93*1000000000/'Personal Ground Travel'!$K$22)/(Parameters!$J$18*Parameters!$J$19)</f>
        <v>8734.1693117109953</v>
      </c>
      <c r="V100" s="44">
        <f>(V93*1000000000/'Personal Ground Travel'!$K$22)/(Parameters!$J$18*Parameters!$J$19)</f>
        <v>8710.1540359081118</v>
      </c>
      <c r="W100" s="44">
        <f>(W93*1000000000/'Personal Ground Travel'!$K$22)/(Parameters!$J$18*Parameters!$J$19)</f>
        <v>8677.0149380429448</v>
      </c>
      <c r="X100" s="44">
        <f>(X93*1000000000/'Personal Ground Travel'!$K$22)/(Parameters!$J$18*Parameters!$J$19)</f>
        <v>8634.5774409470196</v>
      </c>
      <c r="Y100" s="44">
        <f>(Y93*1000000000/'Personal Ground Travel'!$K$22)/(Parameters!$J$18*Parameters!$J$19)</f>
        <v>8582.679239884752</v>
      </c>
      <c r="Z100" s="44">
        <f>(Z93*1000000000/'Personal Ground Travel'!$K$22)/(Parameters!$J$18*Parameters!$J$19)</f>
        <v>8542.5150796915586</v>
      </c>
      <c r="AA100" s="44">
        <f>(AA93*1000000000/'Personal Ground Travel'!$K$22)/(Parameters!$J$18*Parameters!$J$19)</f>
        <v>8499.2589252319376</v>
      </c>
      <c r="AB100" s="44">
        <f>(AB93*1000000000/'Personal Ground Travel'!$K$22)/(Parameters!$J$18*Parameters!$J$19)</f>
        <v>8452.680061642006</v>
      </c>
      <c r="AC100" s="44">
        <f>(AC93*1000000000/'Personal Ground Travel'!$K$22)/(Parameters!$J$18*Parameters!$J$19)</f>
        <v>8402.7151503511668</v>
      </c>
      <c r="AD100" s="44">
        <f>(AD93*1000000000/'Personal Ground Travel'!$K$22)/(Parameters!$J$18*Parameters!$J$19)</f>
        <v>8349.2926146756708</v>
      </c>
      <c r="AE100" s="44">
        <f>(AE93*1000000000/'Personal Ground Travel'!$K$22)/(Parameters!$J$18*Parameters!$J$19)</f>
        <v>8324.0407813265138</v>
      </c>
      <c r="AF100" s="44">
        <f>(AF93*1000000000/'Personal Ground Travel'!$K$22)/(Parameters!$J$18*Parameters!$J$19)</f>
        <v>8297.9829853011342</v>
      </c>
      <c r="AG100" s="44">
        <f>(AG93*1000000000/'Personal Ground Travel'!$K$22)/(Parameters!$J$18*Parameters!$J$19)</f>
        <v>8271.2529405905043</v>
      </c>
      <c r="AH100" s="44">
        <f>(AH93*1000000000/'Personal Ground Travel'!$K$22)/(Parameters!$J$18*Parameters!$J$19)</f>
        <v>8243.990877350041</v>
      </c>
      <c r="AI100" s="44">
        <f>(AI93*1000000000/'Personal Ground Travel'!$K$22)/(Parameters!$J$18*Parameters!$J$19)</f>
        <v>8216.3436183262766</v>
      </c>
      <c r="AJ100" s="44">
        <f>(AJ93*1000000000/'Personal Ground Travel'!$K$22)/(Parameters!$J$18*Parameters!$J$19)</f>
        <v>8188.4646438088002</v>
      </c>
      <c r="AK100" s="44">
        <f>(AK93*1000000000/'Personal Ground Travel'!$K$22)/(Parameters!$J$18*Parameters!$J$19)</f>
        <v>8160.5141428338866</v>
      </c>
      <c r="AL100" s="44">
        <f>(AL93*1000000000/'Personal Ground Travel'!$K$22)/(Parameters!$J$18*Parameters!$J$19)</f>
        <v>8132.6590480845298</v>
      </c>
      <c r="AO100" s="7">
        <f>ROW()</f>
        <v>100</v>
      </c>
    </row>
    <row r="101" spans="2:41" ht="13.9" customHeight="1" x14ac:dyDescent="0.2">
      <c r="B101" s="42" t="s">
        <v>296</v>
      </c>
      <c r="I101" s="44">
        <f>(I94*1000000000/Freight!$K$22)/(Parameters!$J$18*Parameters!$J$19)</f>
        <v>3339.7079167664097</v>
      </c>
      <c r="J101" s="44">
        <f>(J94*1000000000/Freight!$K$22)/(Parameters!$J$18*Parameters!$J$19)</f>
        <v>3430.3251114399377</v>
      </c>
      <c r="K101" s="44">
        <f>(K94*1000000000/Freight!$K$22)/(Parameters!$J$18*Parameters!$J$19)</f>
        <v>3520.9423061134657</v>
      </c>
      <c r="L101" s="44">
        <f>(L94*1000000000/Freight!$K$22)/(Parameters!$J$18*Parameters!$J$19)</f>
        <v>3286.554367947308</v>
      </c>
      <c r="M101" s="44">
        <f>(M94*1000000000/Freight!$K$22)/(Parameters!$J$18*Parameters!$J$19)</f>
        <v>2917.0411430241602</v>
      </c>
      <c r="N101" s="44">
        <f>(N94*1000000000/Freight!$K$22)/(Parameters!$J$18*Parameters!$J$19)</f>
        <v>3039.7308714843034</v>
      </c>
      <c r="O101" s="44">
        <f>(O94*1000000000/Freight!$K$22)/(Parameters!$J$18*Parameters!$J$19)</f>
        <v>3108.7910675985377</v>
      </c>
      <c r="P101" s="44">
        <f>(P94*1000000000/Freight!$K$22)/(Parameters!$J$18*Parameters!$J$19)</f>
        <v>3060.6051997591326</v>
      </c>
      <c r="Q101" s="44">
        <f>(Q94*1000000000/Freight!$K$22)/(Parameters!$J$18*Parameters!$J$19)</f>
        <v>3048.8546225330251</v>
      </c>
      <c r="R101" s="44">
        <f>(R94*1000000000/Freight!$K$22)/(Parameters!$J$18*Parameters!$J$19)</f>
        <v>3033.9086284237173</v>
      </c>
      <c r="S101" s="44">
        <f>(S94*1000000000/Freight!$K$22)/(Parameters!$J$18*Parameters!$J$19)</f>
        <v>3015.7497480515681</v>
      </c>
      <c r="T101" s="44">
        <f>(T94*1000000000/Freight!$K$22)/(Parameters!$J$18*Parameters!$J$19)</f>
        <v>2994.3669162138394</v>
      </c>
      <c r="U101" s="44">
        <f>(U94*1000000000/Freight!$K$22)/(Parameters!$J$18*Parameters!$J$19)</f>
        <v>2969.7556574358277</v>
      </c>
      <c r="V101" s="44">
        <f>(V94*1000000000/Freight!$K$22)/(Parameters!$J$18*Parameters!$J$19)</f>
        <v>2941.9182817213232</v>
      </c>
      <c r="W101" s="44">
        <f>(W94*1000000000/Freight!$K$22)/(Parameters!$J$18*Parameters!$J$19)</f>
        <v>2910.864093327501</v>
      </c>
      <c r="X101" s="44">
        <f>(X94*1000000000/Freight!$K$22)/(Parameters!$J$18*Parameters!$J$19)</f>
        <v>2876.6096153549288</v>
      </c>
      <c r="Y101" s="44">
        <f>(Y94*1000000000/Freight!$K$22)/(Parameters!$J$18*Parameters!$J$19)</f>
        <v>2839.1788328160974</v>
      </c>
      <c r="Z101" s="44">
        <f>(Z94*1000000000/Freight!$K$22)/(Parameters!$J$18*Parameters!$J$19)</f>
        <v>2822.968074940683</v>
      </c>
      <c r="AA101" s="44">
        <f>(AA94*1000000000/Freight!$K$22)/(Parameters!$J$18*Parameters!$J$19)</f>
        <v>2805.7824383000889</v>
      </c>
      <c r="AB101" s="44">
        <f>(AB94*1000000000/Freight!$K$22)/(Parameters!$J$18*Parameters!$J$19)</f>
        <v>2787.5513498687596</v>
      </c>
      <c r="AC101" s="44">
        <f>(AC94*1000000000/Freight!$K$22)/(Parameters!$J$18*Parameters!$J$19)</f>
        <v>2768.2562244633486</v>
      </c>
      <c r="AD101" s="44">
        <f>(AD94*1000000000/Freight!$K$22)/(Parameters!$J$18*Parameters!$J$19)</f>
        <v>2747.8756427110243</v>
      </c>
      <c r="AE101" s="44">
        <f>(AE94*1000000000/Freight!$K$22)/(Parameters!$J$18*Parameters!$J$19)</f>
        <v>2736.8104783123326</v>
      </c>
      <c r="AF101" s="44">
        <f>(AF94*1000000000/Freight!$K$22)/(Parameters!$J$18*Parameters!$J$19)</f>
        <v>2725.513751659681</v>
      </c>
      <c r="AG101" s="44">
        <f>(AG94*1000000000/Freight!$K$22)/(Parameters!$J$18*Parameters!$J$19)</f>
        <v>2714.0284257274079</v>
      </c>
      <c r="AH101" s="44">
        <f>(AH94*1000000000/Freight!$K$22)/(Parameters!$J$18*Parameters!$J$19)</f>
        <v>2702.3991750438199</v>
      </c>
      <c r="AI101" s="44">
        <f>(AI94*1000000000/Freight!$K$22)/(Parameters!$J$18*Parameters!$J$19)</f>
        <v>2690.6723832215785</v>
      </c>
      <c r="AJ101" s="44">
        <f>(AJ94*1000000000/Freight!$K$22)/(Parameters!$J$18*Parameters!$J$19)</f>
        <v>2678.8961358076845</v>
      </c>
      <c r="AK101" s="44">
        <f>(AK94*1000000000/Freight!$K$22)/(Parameters!$J$18*Parameters!$J$19)</f>
        <v>2667.1202077150742</v>
      </c>
      <c r="AL101" s="44">
        <f>(AL94*1000000000/Freight!$K$22)/(Parameters!$J$18*Parameters!$J$19)</f>
        <v>2655.3960444074419</v>
      </c>
      <c r="AO101" s="7">
        <f>ROW()</f>
        <v>101</v>
      </c>
    </row>
    <row r="102" spans="2:41" ht="13.9" customHeight="1" x14ac:dyDescent="0.2">
      <c r="B102" s="42" t="s">
        <v>31</v>
      </c>
      <c r="I102" s="44">
        <f>(I95*1000000000/Aviation!$K$22)/(Parameters!$J$18*Parameters!$J$19)</f>
        <v>1603.1834643076966</v>
      </c>
      <c r="J102" s="44">
        <f>(J95*1000000000/Aviation!$K$22)/(Parameters!$J$18*Parameters!$J$19)</f>
        <v>1580.6898187625629</v>
      </c>
      <c r="K102" s="44">
        <f>(K95*1000000000/Aviation!$K$22)/(Parameters!$J$18*Parameters!$J$19)</f>
        <v>1558.1961732174293</v>
      </c>
      <c r="L102" s="44">
        <f>(L95*1000000000/Aviation!$K$22)/(Parameters!$J$18*Parameters!$J$19)</f>
        <v>1474.356221640114</v>
      </c>
      <c r="M102" s="44">
        <f>(M95*1000000000/Aviation!$K$22)/(Parameters!$J$18*Parameters!$J$19)</f>
        <v>1335.3045946338343</v>
      </c>
      <c r="N102" s="44">
        <f>(N95*1000000000/Aviation!$K$22)/(Parameters!$J$18*Parameters!$J$19)</f>
        <v>1445.1756208347035</v>
      </c>
      <c r="O102" s="44">
        <f>(O95*1000000000/Aviation!$K$22)/(Parameters!$J$18*Parameters!$J$19)</f>
        <v>1447.3450276161107</v>
      </c>
      <c r="P102" s="44">
        <f>(P95*1000000000/Aviation!$K$22)/(Parameters!$J$18*Parameters!$J$19)</f>
        <v>1434.0827714745183</v>
      </c>
      <c r="Q102" s="44">
        <f>(Q95*1000000000/Aviation!$K$22)/(Parameters!$J$18*Parameters!$J$19)</f>
        <v>1428.3973760769804</v>
      </c>
      <c r="R102" s="44">
        <f>(R95*1000000000/Aviation!$K$22)/(Parameters!$J$18*Parameters!$J$19)</f>
        <v>1420.5668979403292</v>
      </c>
      <c r="S102" s="44">
        <f>(S95*1000000000/Aviation!$K$22)/(Parameters!$J$18*Parameters!$J$19)</f>
        <v>1410.5910929526947</v>
      </c>
      <c r="T102" s="44">
        <f>(T95*1000000000/Aviation!$K$22)/(Parameters!$J$18*Parameters!$J$19)</f>
        <v>1398.477916673645</v>
      </c>
      <c r="U102" s="44">
        <f>(U95*1000000000/Aviation!$K$22)/(Parameters!$J$18*Parameters!$J$19)</f>
        <v>1384.2437001085336</v>
      </c>
      <c r="V102" s="44">
        <f>(V95*1000000000/Aviation!$K$22)/(Parameters!$J$18*Parameters!$J$19)</f>
        <v>1367.9132960452062</v>
      </c>
      <c r="W102" s="44">
        <f>(W95*1000000000/Aviation!$K$22)/(Parameters!$J$18*Parameters!$J$19)</f>
        <v>1349.5201943943048</v>
      </c>
      <c r="X102" s="44">
        <f>(X95*1000000000/Aviation!$K$22)/(Parameters!$J$18*Parameters!$J$19)</f>
        <v>1329.1066047477541</v>
      </c>
      <c r="Y102" s="44">
        <f>(Y95*1000000000/Aviation!$K$22)/(Parameters!$J$18*Parameters!$J$19)</f>
        <v>1306.7235040874145</v>
      </c>
      <c r="Z102" s="44">
        <f>(Z95*1000000000/Aviation!$K$22)/(Parameters!$J$18*Parameters!$J$19)</f>
        <v>1295.6860286163169</v>
      </c>
      <c r="AA102" s="44">
        <f>(AA95*1000000000/Aviation!$K$22)/(Parameters!$J$18*Parameters!$J$19)</f>
        <v>1284.3041917000801</v>
      </c>
      <c r="AB102" s="44">
        <f>(AB95*1000000000/Aviation!$K$22)/(Parameters!$J$18*Parameters!$J$19)</f>
        <v>1272.5600826169111</v>
      </c>
      <c r="AC102" s="44">
        <f>(AC95*1000000000/Aviation!$K$22)/(Parameters!$J$18*Parameters!$J$19)</f>
        <v>1260.4884237501715</v>
      </c>
      <c r="AD102" s="44">
        <f>(AD95*1000000000/Aviation!$K$22)/(Parameters!$J$18*Parameters!$J$19)</f>
        <v>1248.124561386282</v>
      </c>
      <c r="AE102" s="44">
        <f>(AE95*1000000000/Aviation!$K$22)/(Parameters!$J$18*Parameters!$J$19)</f>
        <v>1236.4440196111868</v>
      </c>
      <c r="AF102" s="44">
        <f>(AF95*1000000000/Aviation!$K$22)/(Parameters!$J$18*Parameters!$J$19)</f>
        <v>1224.6176781999127</v>
      </c>
      <c r="AG102" s="44">
        <f>(AG95*1000000000/Aviation!$K$22)/(Parameters!$J$18*Parameters!$J$19)</f>
        <v>1212.6881278462365</v>
      </c>
      <c r="AH102" s="44">
        <f>(AH95*1000000000/Aviation!$K$22)/(Parameters!$J$18*Parameters!$J$19)</f>
        <v>1200.6987330376833</v>
      </c>
      <c r="AI102" s="44">
        <f>(AI95*1000000000/Aviation!$K$22)/(Parameters!$J$18*Parameters!$J$19)</f>
        <v>1188.6935792524387</v>
      </c>
      <c r="AJ102" s="44">
        <f>(AJ95*1000000000/Aviation!$K$22)/(Parameters!$J$18*Parameters!$J$19)</f>
        <v>1176.7174253297935</v>
      </c>
      <c r="AK102" s="44">
        <f>(AK95*1000000000/Aviation!$K$22)/(Parameters!$J$18*Parameters!$J$19)</f>
        <v>1164.8156619935523</v>
      </c>
      <c r="AL102" s="44">
        <f>(AL95*1000000000/Aviation!$K$22)/(Parameters!$J$18*Parameters!$J$19)</f>
        <v>1153.0342775753611</v>
      </c>
      <c r="AO102" s="7">
        <f>ROW()</f>
        <v>102</v>
      </c>
    </row>
    <row r="103" spans="2:41" ht="13.9" customHeight="1" x14ac:dyDescent="0.2">
      <c r="B103" s="42" t="s">
        <v>5</v>
      </c>
      <c r="I103" s="44">
        <f>(I96*1000000000/(Other!$M$34*'Personal Ground Travel'!$K$22))/(Parameters!$J$18*Parameters!$J$19)</f>
        <v>5709.9609841418023</v>
      </c>
      <c r="J103" s="44">
        <f>(J96*1000000000/(Other!$M$34*'Personal Ground Travel'!$K$22))/(Parameters!$J$18*Parameters!$J$19)</f>
        <v>5700.4280748215979</v>
      </c>
      <c r="K103" s="44">
        <f>(K96*1000000000/(Other!$M$34*'Personal Ground Travel'!$K$22))/(Parameters!$J$18*Parameters!$J$19)</f>
        <v>5690.8951655013961</v>
      </c>
      <c r="L103" s="44">
        <f>(L96*1000000000/(Other!$M$34*'Personal Ground Travel'!$K$22))/(Parameters!$J$18*Parameters!$J$19)</f>
        <v>5580.1826801131119</v>
      </c>
      <c r="M103" s="44">
        <f>(M96*1000000000/(Other!$M$34*'Personal Ground Travel'!$K$22))/(Parameters!$J$18*Parameters!$J$19)</f>
        <v>5240.7310352828881</v>
      </c>
      <c r="N103" s="44">
        <f>(N96*1000000000/(Other!$M$34*'Personal Ground Travel'!$K$22))/(Parameters!$J$18*Parameters!$J$19)</f>
        <v>5515.4957293780872</v>
      </c>
      <c r="O103" s="44">
        <f>(O96*1000000000/(Other!$M$34*'Personal Ground Travel'!$K$22))/(Parameters!$J$18*Parameters!$J$19)</f>
        <v>5541.7317013079482</v>
      </c>
      <c r="P103" s="44">
        <f>(P96*1000000000/(Other!$M$34*'Personal Ground Travel'!$K$22))/(Parameters!$J$18*Parameters!$J$19)</f>
        <v>5484.8473793608646</v>
      </c>
      <c r="Q103" s="44">
        <f>(Q96*1000000000/(Other!$M$34*'Personal Ground Travel'!$K$22))/(Parameters!$J$18*Parameters!$J$19)</f>
        <v>5495.8143139409322</v>
      </c>
      <c r="R103" s="44">
        <f>(R96*1000000000/(Other!$M$34*'Personal Ground Travel'!$K$22))/(Parameters!$J$18*Parameters!$J$19)</f>
        <v>5502.7445451284821</v>
      </c>
      <c r="S103" s="44">
        <f>(S96*1000000000/(Other!$M$34*'Personal Ground Travel'!$K$22))/(Parameters!$J$18*Parameters!$J$19)</f>
        <v>5505.2725595362017</v>
      </c>
      <c r="T103" s="44">
        <f>(T96*1000000000/(Other!$M$34*'Personal Ground Travel'!$K$22))/(Parameters!$J$18*Parameters!$J$19)</f>
        <v>5503.0169867156274</v>
      </c>
      <c r="U103" s="44">
        <f>(U96*1000000000/(Other!$M$34*'Personal Ground Travel'!$K$22))/(Parameters!$J$18*Parameters!$J$19)</f>
        <v>5495.5827078283555</v>
      </c>
      <c r="V103" s="44">
        <f>(V96*1000000000/(Other!$M$34*'Personal Ground Travel'!$K$22))/(Parameters!$J$18*Parameters!$J$19)</f>
        <v>5482.5636153248706</v>
      </c>
      <c r="W103" s="44">
        <f>(W96*1000000000/(Other!$M$34*'Personal Ground Travel'!$K$22))/(Parameters!$J$18*Parameters!$J$19)</f>
        <v>5463.5460919954157</v>
      </c>
      <c r="X103" s="44">
        <f>(X96*1000000000/(Other!$M$34*'Personal Ground Travel'!$K$22))/(Parameters!$J$18*Parameters!$J$19)</f>
        <v>5438.1132692935162</v>
      </c>
      <c r="Y103" s="44">
        <f>(Y96*1000000000/(Other!$M$34*'Personal Ground Travel'!$K$22))/(Parameters!$J$18*Parameters!$J$19)</f>
        <v>5405.8501115025947</v>
      </c>
      <c r="Z103" s="44">
        <f>(Z96*1000000000/(Other!$M$34*'Personal Ground Travel'!$K$22))/(Parameters!$J$18*Parameters!$J$19)</f>
        <v>5400.3777814046425</v>
      </c>
      <c r="AA103" s="44">
        <f>(AA96*1000000000/(Other!$M$34*'Personal Ground Travel'!$K$22))/(Parameters!$J$18*Parameters!$J$19)</f>
        <v>5390.0527744385754</v>
      </c>
      <c r="AB103" s="44">
        <f>(AB96*1000000000/(Other!$M$34*'Personal Ground Travel'!$K$22))/(Parameters!$J$18*Parameters!$J$19)</f>
        <v>5374.5829854990388</v>
      </c>
      <c r="AC103" s="44">
        <f>(AC96*1000000000/(Other!$M$34*'Personal Ground Travel'!$K$22))/(Parameters!$J$18*Parameters!$J$19)</f>
        <v>5354.160032122435</v>
      </c>
      <c r="AD103" s="44">
        <f>(AD96*1000000000/(Other!$M$34*'Personal Ground Travel'!$K$22))/(Parameters!$J$18*Parameters!$J$19)</f>
        <v>5328.9924483198856</v>
      </c>
      <c r="AE103" s="44">
        <f>(AE96*1000000000/(Other!$M$34*'Personal Ground Travel'!$K$22))/(Parameters!$J$18*Parameters!$J$19)</f>
        <v>5319.5670352521774</v>
      </c>
      <c r="AF103" s="44">
        <f>(AF96*1000000000/(Other!$M$34*'Personal Ground Travel'!$K$22))/(Parameters!$J$18*Parameters!$J$19)</f>
        <v>5307.6962785541609</v>
      </c>
      <c r="AG103" s="44">
        <f>(AG96*1000000000/(Other!$M$34*'Personal Ground Travel'!$K$22))/(Parameters!$J$18*Parameters!$J$19)</f>
        <v>5293.75797554159</v>
      </c>
      <c r="AH103" s="44">
        <f>(AH96*1000000000/(Other!$M$34*'Personal Ground Travel'!$K$22))/(Parameters!$J$18*Parameters!$J$19)</f>
        <v>5278.1485210494775</v>
      </c>
      <c r="AI103" s="44">
        <f>(AI96*1000000000/(Other!$M$34*'Personal Ground Travel'!$K$22))/(Parameters!$J$18*Parameters!$J$19)</f>
        <v>5261.281006657242</v>
      </c>
      <c r="AJ103" s="44">
        <f>(AJ96*1000000000/(Other!$M$34*'Personal Ground Travel'!$K$22))/(Parameters!$J$18*Parameters!$J$19)</f>
        <v>5243.5833050790852</v>
      </c>
      <c r="AK103" s="44">
        <f>(AK96*1000000000/(Other!$M$34*'Personal Ground Travel'!$K$22))/(Parameters!$J$18*Parameters!$J$19)</f>
        <v>5225.4961767770419</v>
      </c>
      <c r="AL103" s="44">
        <f>(AL96*1000000000/(Other!$M$34*'Personal Ground Travel'!$K$22))/(Parameters!$J$18*Parameters!$J$19)</f>
        <v>5207.4714379119914</v>
      </c>
      <c r="AO103" s="7">
        <f>ROW()</f>
        <v>103</v>
      </c>
    </row>
    <row r="104" spans="2:41" ht="13.9" customHeight="1" x14ac:dyDescent="0.2">
      <c r="AO104" s="7">
        <f>ROW()</f>
        <v>104</v>
      </c>
    </row>
    <row r="105" spans="2:41" ht="13.9" customHeight="1" x14ac:dyDescent="0.2">
      <c r="AO105" s="7">
        <f>ROW()</f>
        <v>105</v>
      </c>
    </row>
    <row r="106" spans="2:41" ht="13.9" customHeight="1" x14ac:dyDescent="0.2">
      <c r="AO106" s="7">
        <f>ROW()</f>
        <v>106</v>
      </c>
    </row>
    <row r="107" spans="2:41" ht="13.9" customHeight="1" x14ac:dyDescent="0.2">
      <c r="AO107" s="7">
        <f>ROW()</f>
        <v>107</v>
      </c>
    </row>
    <row r="108" spans="2:41" ht="13.9" customHeight="1" x14ac:dyDescent="0.2">
      <c r="AO108" s="7">
        <f>ROW()</f>
        <v>108</v>
      </c>
    </row>
    <row r="109" spans="2:41" ht="13.9" customHeight="1" x14ac:dyDescent="0.2">
      <c r="AO109" s="7">
        <f>ROW()</f>
        <v>109</v>
      </c>
    </row>
    <row r="110" spans="2:41" ht="13.9" customHeight="1" x14ac:dyDescent="0.2">
      <c r="AO110" s="7">
        <f>ROW()</f>
        <v>110</v>
      </c>
    </row>
    <row r="111" spans="2:41" ht="13.9" customHeight="1" x14ac:dyDescent="0.2">
      <c r="AO111" s="7">
        <f>ROW()</f>
        <v>111</v>
      </c>
    </row>
    <row r="112" spans="2:41" ht="13.9" customHeight="1" x14ac:dyDescent="0.2">
      <c r="AO112" s="7">
        <f>ROW()</f>
        <v>112</v>
      </c>
    </row>
    <row r="113" spans="41:41" ht="13.9" customHeight="1" x14ac:dyDescent="0.2">
      <c r="AO113" s="7">
        <f>ROW()</f>
        <v>113</v>
      </c>
    </row>
    <row r="114" spans="41:41" ht="13.9" customHeight="1" x14ac:dyDescent="0.2">
      <c r="AO114" s="7">
        <f>ROW()</f>
        <v>114</v>
      </c>
    </row>
    <row r="115" spans="41:41" ht="13.9" customHeight="1" x14ac:dyDescent="0.2">
      <c r="AO115" s="7">
        <f>ROW()</f>
        <v>115</v>
      </c>
    </row>
    <row r="116" spans="41:41" ht="13.9" customHeight="1" x14ac:dyDescent="0.2">
      <c r="AO116" s="7">
        <f>ROW()</f>
        <v>116</v>
      </c>
    </row>
    <row r="117" spans="41:41" ht="13.9" customHeight="1" x14ac:dyDescent="0.2">
      <c r="AO117" s="7">
        <f>ROW()</f>
        <v>117</v>
      </c>
    </row>
    <row r="118" spans="41:41" ht="13.9" customHeight="1" x14ac:dyDescent="0.2">
      <c r="AO118" s="7">
        <f>ROW()</f>
        <v>118</v>
      </c>
    </row>
    <row r="119" spans="41:41" ht="13.9" customHeight="1" x14ac:dyDescent="0.2">
      <c r="AO119" s="7">
        <f>ROW()</f>
        <v>119</v>
      </c>
    </row>
    <row r="120" spans="41:41" ht="13.9" customHeight="1" x14ac:dyDescent="0.2">
      <c r="AO120" s="7">
        <f>ROW()</f>
        <v>120</v>
      </c>
    </row>
    <row r="121" spans="41:41" ht="13.9" customHeight="1" x14ac:dyDescent="0.2">
      <c r="AO121" s="7">
        <f>ROW()</f>
        <v>121</v>
      </c>
    </row>
    <row r="122" spans="41:41" ht="13.9" customHeight="1" x14ac:dyDescent="0.2">
      <c r="AO122" s="7">
        <f>ROW()</f>
        <v>122</v>
      </c>
    </row>
    <row r="123" spans="41:41" ht="13.9" customHeight="1" x14ac:dyDescent="0.2">
      <c r="AO123" s="7">
        <f>ROW()</f>
        <v>123</v>
      </c>
    </row>
    <row r="124" spans="41:41" ht="13.9" customHeight="1" x14ac:dyDescent="0.2">
      <c r="AO124" s="7">
        <f>ROW()</f>
        <v>124</v>
      </c>
    </row>
    <row r="125" spans="41:41" ht="13.9" customHeight="1" x14ac:dyDescent="0.2">
      <c r="AO125" s="7">
        <f>ROW()</f>
        <v>125</v>
      </c>
    </row>
    <row r="126" spans="41:41" ht="13.9" customHeight="1" x14ac:dyDescent="0.2">
      <c r="AO126" s="7">
        <f>ROW()</f>
        <v>126</v>
      </c>
    </row>
    <row r="127" spans="41:41" ht="13.9" customHeight="1" x14ac:dyDescent="0.2">
      <c r="AO127" s="7">
        <f>ROW()</f>
        <v>127</v>
      </c>
    </row>
    <row r="128" spans="41:41" ht="13.9" customHeight="1" x14ac:dyDescent="0.2">
      <c r="AO128" s="7">
        <f>ROW()</f>
        <v>128</v>
      </c>
    </row>
    <row r="129" spans="41:41" ht="13.9" customHeight="1" x14ac:dyDescent="0.2">
      <c r="AO129" s="7">
        <f>ROW()</f>
        <v>129</v>
      </c>
    </row>
    <row r="130" spans="41:41" ht="13.9" customHeight="1" x14ac:dyDescent="0.2">
      <c r="AO130" s="7">
        <f>ROW()</f>
        <v>130</v>
      </c>
    </row>
    <row r="131" spans="41:41" ht="13.9" customHeight="1" x14ac:dyDescent="0.2">
      <c r="AO131" s="7">
        <f>ROW()</f>
        <v>131</v>
      </c>
    </row>
    <row r="132" spans="41:41" ht="13.9" customHeight="1" x14ac:dyDescent="0.2">
      <c r="AO132" s="7">
        <f>ROW()</f>
        <v>132</v>
      </c>
    </row>
    <row r="133" spans="41:41" ht="13.9" customHeight="1" x14ac:dyDescent="0.2">
      <c r="AO133" s="7">
        <f>ROW()</f>
        <v>133</v>
      </c>
    </row>
    <row r="134" spans="41:41" ht="13.9" customHeight="1" x14ac:dyDescent="0.2">
      <c r="AO134" s="7">
        <f>ROW()</f>
        <v>134</v>
      </c>
    </row>
    <row r="135" spans="41:41" ht="13.9" customHeight="1" x14ac:dyDescent="0.2">
      <c r="AO135" s="7">
        <f>ROW()</f>
        <v>135</v>
      </c>
    </row>
    <row r="136" spans="41:41" ht="13.9" customHeight="1" x14ac:dyDescent="0.2">
      <c r="AO136" s="7">
        <f>ROW()</f>
        <v>136</v>
      </c>
    </row>
    <row r="137" spans="41:41" ht="13.9" customHeight="1" x14ac:dyDescent="0.2">
      <c r="AO137" s="7">
        <f>ROW()</f>
        <v>137</v>
      </c>
    </row>
    <row r="138" spans="41:41" ht="13.9" customHeight="1" x14ac:dyDescent="0.2">
      <c r="AO138" s="7">
        <f>ROW()</f>
        <v>138</v>
      </c>
    </row>
    <row r="139" spans="41:41" ht="13.9" customHeight="1" x14ac:dyDescent="0.2">
      <c r="AO139" s="7">
        <f>ROW()</f>
        <v>139</v>
      </c>
    </row>
    <row r="140" spans="41:41" ht="13.9" customHeight="1" x14ac:dyDescent="0.2">
      <c r="AO140" s="7">
        <f>ROW()</f>
        <v>140</v>
      </c>
    </row>
    <row r="141" spans="41:41" ht="13.9" customHeight="1" x14ac:dyDescent="0.2">
      <c r="AO141" s="7">
        <f>ROW()</f>
        <v>141</v>
      </c>
    </row>
    <row r="142" spans="41:41" ht="13.9" customHeight="1" x14ac:dyDescent="0.2">
      <c r="AO142" s="7">
        <f>ROW()</f>
        <v>142</v>
      </c>
    </row>
    <row r="143" spans="41:41" ht="13.9" customHeight="1" x14ac:dyDescent="0.2">
      <c r="AO143" s="7">
        <f>ROW()</f>
        <v>143</v>
      </c>
    </row>
    <row r="144" spans="41:41" ht="13.9" customHeight="1" x14ac:dyDescent="0.2">
      <c r="AO144" s="7">
        <f>ROW()</f>
        <v>144</v>
      </c>
    </row>
    <row r="145" spans="41:41" ht="13.9" customHeight="1" x14ac:dyDescent="0.2">
      <c r="AO145" s="7">
        <f>ROW()</f>
        <v>145</v>
      </c>
    </row>
    <row r="146" spans="41:41" ht="13.9" customHeight="1" x14ac:dyDescent="0.2">
      <c r="AO146" s="7">
        <f>ROW()</f>
        <v>146</v>
      </c>
    </row>
    <row r="147" spans="41:41" ht="13.9" customHeight="1" x14ac:dyDescent="0.2">
      <c r="AO147" s="7">
        <f>ROW()</f>
        <v>147</v>
      </c>
    </row>
    <row r="148" spans="41:41" ht="13.9" customHeight="1" x14ac:dyDescent="0.2">
      <c r="AO148" s="7">
        <f>ROW()</f>
        <v>148</v>
      </c>
    </row>
    <row r="149" spans="41:41" ht="13.9" customHeight="1" x14ac:dyDescent="0.2">
      <c r="AO149" s="7">
        <f>ROW()</f>
        <v>149</v>
      </c>
    </row>
    <row r="150" spans="41:41" ht="13.9" customHeight="1" x14ac:dyDescent="0.2">
      <c r="AO150" s="7">
        <f>ROW()</f>
        <v>150</v>
      </c>
    </row>
    <row r="151" spans="41:41" ht="13.9" customHeight="1" x14ac:dyDescent="0.2">
      <c r="AO151" s="7">
        <f>ROW()</f>
        <v>151</v>
      </c>
    </row>
    <row r="152" spans="41:41" ht="13.9" customHeight="1" x14ac:dyDescent="0.2">
      <c r="AO152" s="7">
        <f>ROW()</f>
        <v>152</v>
      </c>
    </row>
    <row r="153" spans="41:41" ht="13.9" customHeight="1" x14ac:dyDescent="0.2">
      <c r="AO153" s="7">
        <f>ROW()</f>
        <v>153</v>
      </c>
    </row>
    <row r="154" spans="41:41" ht="13.9" customHeight="1" x14ac:dyDescent="0.2">
      <c r="AO154" s="7">
        <f>ROW()</f>
        <v>154</v>
      </c>
    </row>
    <row r="155" spans="41:41" ht="13.9" customHeight="1" x14ac:dyDescent="0.2">
      <c r="AO155" s="7">
        <f>ROW()</f>
        <v>155</v>
      </c>
    </row>
    <row r="156" spans="41:41" ht="13.9" customHeight="1" x14ac:dyDescent="0.2">
      <c r="AO156" s="7">
        <f>ROW()</f>
        <v>156</v>
      </c>
    </row>
    <row r="157" spans="41:41" ht="13.9" customHeight="1" x14ac:dyDescent="0.2">
      <c r="AO157" s="7">
        <f>ROW()</f>
        <v>157</v>
      </c>
    </row>
    <row r="158" spans="41:41" ht="13.9" customHeight="1" x14ac:dyDescent="0.2">
      <c r="AO158" s="7">
        <f>ROW()</f>
        <v>158</v>
      </c>
    </row>
    <row r="159" spans="41:41" ht="13.9" customHeight="1" x14ac:dyDescent="0.2">
      <c r="AO159" s="7">
        <f>ROW()</f>
        <v>159</v>
      </c>
    </row>
    <row r="160" spans="41:41" ht="13.9" customHeight="1" x14ac:dyDescent="0.2">
      <c r="AO160" s="7">
        <f>ROW()</f>
        <v>160</v>
      </c>
    </row>
    <row r="161" spans="41:41" ht="13.9" customHeight="1" x14ac:dyDescent="0.2">
      <c r="AO161" s="7">
        <f>ROW()</f>
        <v>161</v>
      </c>
    </row>
    <row r="162" spans="41:41" ht="13.9" customHeight="1" x14ac:dyDescent="0.2">
      <c r="AO162" s="7">
        <f>ROW()</f>
        <v>162</v>
      </c>
    </row>
    <row r="163" spans="41:41" ht="13.9" customHeight="1" x14ac:dyDescent="0.2">
      <c r="AO163" s="7">
        <f>ROW()</f>
        <v>163</v>
      </c>
    </row>
    <row r="164" spans="41:41" ht="13.9" customHeight="1" x14ac:dyDescent="0.2">
      <c r="AO164" s="7">
        <f>ROW()</f>
        <v>164</v>
      </c>
    </row>
    <row r="165" spans="41:41" ht="13.9" customHeight="1" x14ac:dyDescent="0.2">
      <c r="AO165" s="7">
        <f>ROW()</f>
        <v>165</v>
      </c>
    </row>
    <row r="166" spans="41:41" ht="13.9" customHeight="1" x14ac:dyDescent="0.2">
      <c r="AO166" s="7">
        <f>ROW()</f>
        <v>166</v>
      </c>
    </row>
    <row r="167" spans="41:41" ht="13.9" customHeight="1" x14ac:dyDescent="0.2">
      <c r="AO167" s="7">
        <f>ROW()</f>
        <v>167</v>
      </c>
    </row>
    <row r="168" spans="41:41" ht="13.9" customHeight="1" x14ac:dyDescent="0.2">
      <c r="AO168" s="7">
        <f>ROW()</f>
        <v>168</v>
      </c>
    </row>
    <row r="169" spans="41:41" ht="13.9" customHeight="1" x14ac:dyDescent="0.2">
      <c r="AO169" s="7">
        <f>ROW()</f>
        <v>169</v>
      </c>
    </row>
    <row r="170" spans="41:41" ht="13.9" customHeight="1" x14ac:dyDescent="0.2">
      <c r="AO170" s="7">
        <f>ROW()</f>
        <v>170</v>
      </c>
    </row>
    <row r="171" spans="41:41" ht="13.9" customHeight="1" x14ac:dyDescent="0.2">
      <c r="AO171" s="7">
        <f>ROW()</f>
        <v>171</v>
      </c>
    </row>
    <row r="172" spans="41:41" ht="13.9" customHeight="1" x14ac:dyDescent="0.2">
      <c r="AO172" s="7">
        <f>ROW()</f>
        <v>172</v>
      </c>
    </row>
    <row r="173" spans="41:41" ht="13.9" customHeight="1" x14ac:dyDescent="0.2">
      <c r="AO173" s="7">
        <f>ROW()</f>
        <v>173</v>
      </c>
    </row>
    <row r="174" spans="41:41" ht="13.9" customHeight="1" x14ac:dyDescent="0.2">
      <c r="AO174" s="7">
        <f>ROW()</f>
        <v>174</v>
      </c>
    </row>
    <row r="175" spans="41:41" ht="13.9" customHeight="1" x14ac:dyDescent="0.2">
      <c r="AO175" s="7">
        <f>ROW()</f>
        <v>175</v>
      </c>
    </row>
    <row r="176" spans="41:41" ht="13.9" customHeight="1" x14ac:dyDescent="0.2">
      <c r="AO176" s="7">
        <f>ROW()</f>
        <v>176</v>
      </c>
    </row>
    <row r="177" spans="41:41" ht="13.9" customHeight="1" x14ac:dyDescent="0.2">
      <c r="AO177" s="7">
        <f>ROW()</f>
        <v>177</v>
      </c>
    </row>
    <row r="178" spans="41:41" ht="13.9" customHeight="1" x14ac:dyDescent="0.2">
      <c r="AO178" s="7">
        <f>ROW()</f>
        <v>178</v>
      </c>
    </row>
    <row r="179" spans="41:41" ht="13.9" customHeight="1" x14ac:dyDescent="0.2">
      <c r="AO179" s="7">
        <f>ROW()</f>
        <v>179</v>
      </c>
    </row>
    <row r="180" spans="41:41" ht="13.9" customHeight="1" x14ac:dyDescent="0.2">
      <c r="AO180" s="7">
        <f>ROW()</f>
        <v>180</v>
      </c>
    </row>
  </sheetData>
  <mergeCells count="2">
    <mergeCell ref="C41:S41"/>
    <mergeCell ref="D2:H3"/>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217"/>
  <sheetViews>
    <sheetView topLeftCell="B4" workbookViewId="0"/>
  </sheetViews>
  <sheetFormatPr defaultRowHeight="13.9" customHeight="1" x14ac:dyDescent="0.2"/>
  <cols>
    <col min="1" max="1" width="2.5703125" customWidth="1"/>
    <col min="8" max="8" width="1.5703125" customWidth="1"/>
    <col min="10" max="10" width="12.28515625" bestFit="1" customWidth="1"/>
    <col min="17" max="17" width="1.85546875" customWidth="1"/>
    <col min="18" max="18" width="10.5703125" customWidth="1"/>
    <col min="19" max="20" width="9.42578125" bestFit="1" customWidth="1"/>
    <col min="22" max="22" width="10.42578125" bestFit="1" customWidth="1"/>
  </cols>
  <sheetData>
    <row r="1" spans="2:25" ht="13.9" customHeight="1" x14ac:dyDescent="0.25">
      <c r="B1" s="70" t="s">
        <v>14</v>
      </c>
      <c r="N1" s="350">
        <f>Summary!J1</f>
        <v>40823</v>
      </c>
      <c r="Q1" s="8">
        <f>ROW()</f>
        <v>1</v>
      </c>
    </row>
    <row r="2" spans="2:25" ht="13.9" customHeight="1" x14ac:dyDescent="0.2">
      <c r="I2" s="526" t="s">
        <v>679</v>
      </c>
      <c r="J2" s="527"/>
      <c r="K2" s="527"/>
      <c r="L2" s="528"/>
      <c r="Q2" s="8">
        <f>ROW()</f>
        <v>2</v>
      </c>
    </row>
    <row r="3" spans="2:25" ht="13.9" customHeight="1" x14ac:dyDescent="0.2">
      <c r="I3" s="529"/>
      <c r="J3" s="530"/>
      <c r="K3" s="530"/>
      <c r="L3" s="531"/>
      <c r="Q3" s="8">
        <f>ROW()</f>
        <v>3</v>
      </c>
    </row>
    <row r="4" spans="2:25" ht="13.9" customHeight="1" x14ac:dyDescent="0.2">
      <c r="Q4" s="8">
        <f>ROW()</f>
        <v>4</v>
      </c>
    </row>
    <row r="5" spans="2:25" ht="13.9" customHeight="1" x14ac:dyDescent="0.2">
      <c r="B5" t="s">
        <v>53</v>
      </c>
      <c r="Q5" s="8">
        <f>ROW()</f>
        <v>5</v>
      </c>
    </row>
    <row r="6" spans="2:25" ht="13.9" customHeight="1" x14ac:dyDescent="0.2">
      <c r="Q6" s="8">
        <f>ROW()</f>
        <v>6</v>
      </c>
    </row>
    <row r="7" spans="2:25" ht="13.9" customHeight="1" x14ac:dyDescent="0.2">
      <c r="Q7" s="8">
        <f>ROW()</f>
        <v>7</v>
      </c>
      <c r="S7" s="3" t="s">
        <v>94</v>
      </c>
      <c r="W7" s="3" t="s">
        <v>287</v>
      </c>
    </row>
    <row r="8" spans="2:25" ht="13.9" customHeight="1" x14ac:dyDescent="0.2">
      <c r="G8" s="532" t="s">
        <v>44</v>
      </c>
      <c r="H8" s="532"/>
      <c r="I8" s="532"/>
      <c r="J8" s="532" t="s">
        <v>45</v>
      </c>
      <c r="K8" s="532"/>
      <c r="L8" s="532"/>
      <c r="M8" s="532"/>
      <c r="N8" s="57"/>
      <c r="Q8" s="8">
        <f>ROW()</f>
        <v>8</v>
      </c>
      <c r="S8" s="13"/>
      <c r="T8" s="13" t="s">
        <v>86</v>
      </c>
      <c r="U8" s="13" t="s">
        <v>89</v>
      </c>
      <c r="W8" s="13" t="s">
        <v>85</v>
      </c>
      <c r="X8" s="13" t="s">
        <v>86</v>
      </c>
      <c r="Y8" s="13" t="s">
        <v>89</v>
      </c>
    </row>
    <row r="9" spans="2:25" ht="13.9" customHeight="1" x14ac:dyDescent="0.2">
      <c r="G9" s="96">
        <v>2005</v>
      </c>
      <c r="H9" s="96"/>
      <c r="I9" s="96">
        <v>2007</v>
      </c>
      <c r="J9" s="96">
        <v>2008</v>
      </c>
      <c r="K9" s="96">
        <v>2009</v>
      </c>
      <c r="L9" s="96">
        <v>2010</v>
      </c>
      <c r="M9" s="96">
        <v>2011</v>
      </c>
      <c r="Q9" s="8">
        <f>ROW()</f>
        <v>9</v>
      </c>
      <c r="S9" s="13" t="s">
        <v>85</v>
      </c>
      <c r="T9" s="13" t="s">
        <v>88</v>
      </c>
      <c r="U9" s="13" t="s">
        <v>87</v>
      </c>
      <c r="W9" s="512" t="s">
        <v>319</v>
      </c>
      <c r="X9" s="13" t="s">
        <v>88</v>
      </c>
      <c r="Y9" s="13" t="s">
        <v>87</v>
      </c>
    </row>
    <row r="10" spans="2:25" ht="13.9" customHeight="1" x14ac:dyDescent="0.2">
      <c r="B10" s="171" t="s">
        <v>242</v>
      </c>
      <c r="G10" s="11"/>
      <c r="H10" s="11"/>
      <c r="I10" t="s">
        <v>307</v>
      </c>
      <c r="Q10" s="8">
        <f>ROW()</f>
        <v>10</v>
      </c>
      <c r="R10">
        <v>2000</v>
      </c>
      <c r="S10" s="217">
        <v>1966265</v>
      </c>
      <c r="T10" s="217">
        <v>102160</v>
      </c>
      <c r="U10" s="217">
        <v>601038</v>
      </c>
      <c r="V10" s="3"/>
      <c r="W10" s="513"/>
      <c r="X10" s="123" t="s">
        <v>320</v>
      </c>
      <c r="Y10" s="123" t="s">
        <v>321</v>
      </c>
    </row>
    <row r="11" spans="2:25" ht="13.9" customHeight="1" x14ac:dyDescent="0.2">
      <c r="B11" s="9" t="s">
        <v>60</v>
      </c>
      <c r="G11" s="10">
        <f>SUM(G12:G16)-0.1</f>
        <v>2397.4000000000005</v>
      </c>
      <c r="H11" s="10"/>
      <c r="I11" s="10">
        <f>SUM(I12:I16)</f>
        <v>2423.5201667846854</v>
      </c>
      <c r="J11" s="10">
        <f>SUM(J12:J16)</f>
        <v>2368.0981903945208</v>
      </c>
      <c r="K11" s="10">
        <f>SUM(K12:K16)</f>
        <v>2152.3460161867906</v>
      </c>
      <c r="L11" s="10"/>
      <c r="M11" s="10"/>
      <c r="Q11" s="8">
        <f>ROW()</f>
        <v>11</v>
      </c>
      <c r="R11">
        <v>2001</v>
      </c>
      <c r="S11" s="217">
        <v>1903956</v>
      </c>
      <c r="T11" s="217">
        <v>114647</v>
      </c>
      <c r="U11" s="217">
        <v>639129</v>
      </c>
      <c r="V11" s="3"/>
      <c r="W11" s="3"/>
      <c r="X11" s="3"/>
      <c r="Y11" s="3"/>
    </row>
    <row r="12" spans="2:25" ht="13.9" customHeight="1" x14ac:dyDescent="0.2">
      <c r="B12" s="172" t="s">
        <v>85</v>
      </c>
      <c r="G12">
        <v>1963.9</v>
      </c>
      <c r="I12" s="8">
        <f>G12*(S17/S15)</f>
        <v>1967.3954200874077</v>
      </c>
      <c r="J12" s="8">
        <f>G12*(S18/S15)</f>
        <v>1937.4869000594176</v>
      </c>
      <c r="K12" s="8">
        <f>G12*(S19/S15)</f>
        <v>1713.1832770704859</v>
      </c>
      <c r="L12" s="8">
        <f>K12*(1+W42)</f>
        <v>1795.2657891448898</v>
      </c>
      <c r="P12" s="5"/>
      <c r="Q12" s="8">
        <f>ROW()</f>
        <v>12</v>
      </c>
      <c r="R12">
        <v>2002</v>
      </c>
      <c r="S12" s="217">
        <v>1933130</v>
      </c>
      <c r="T12" s="217">
        <v>78701</v>
      </c>
      <c r="U12" s="217">
        <v>691006</v>
      </c>
      <c r="V12" s="3"/>
      <c r="W12" s="3"/>
      <c r="X12" s="3"/>
      <c r="Y12" s="3"/>
    </row>
    <row r="13" spans="2:25" ht="13.9" customHeight="1" x14ac:dyDescent="0.2">
      <c r="B13" s="172" t="s">
        <v>245</v>
      </c>
      <c r="G13">
        <v>320.5</v>
      </c>
      <c r="I13" s="8">
        <f>G13*(U17/U15)</f>
        <v>377.62444149495371</v>
      </c>
      <c r="J13" s="8">
        <f>G13*(U18/U15)</f>
        <v>371.89245424135305</v>
      </c>
      <c r="K13" s="8">
        <f>G13*(U19/U15)</f>
        <v>387.85200225833159</v>
      </c>
      <c r="L13">
        <f>K13*(1+Y42)</f>
        <v>413.38131608765161</v>
      </c>
      <c r="P13" s="5"/>
      <c r="Q13" s="8">
        <f>ROW()</f>
        <v>13</v>
      </c>
      <c r="R13">
        <v>2003</v>
      </c>
      <c r="S13" s="217">
        <v>1973737</v>
      </c>
      <c r="T13" s="217">
        <v>102734</v>
      </c>
      <c r="U13" s="217">
        <v>649908</v>
      </c>
      <c r="V13" s="3"/>
      <c r="W13" s="3"/>
      <c r="X13" s="3"/>
      <c r="Y13" s="3"/>
    </row>
    <row r="14" spans="2:25" ht="13.9" customHeight="1" x14ac:dyDescent="0.2">
      <c r="B14" s="11" t="s">
        <v>86</v>
      </c>
      <c r="G14">
        <v>101.3</v>
      </c>
      <c r="I14" s="8">
        <f>G14*(T17/T15)</f>
        <v>66.700305202323719</v>
      </c>
      <c r="J14" s="8">
        <f>G14*(T18/T15)</f>
        <v>46.918836093750002</v>
      </c>
      <c r="K14" s="8">
        <f>G14*(T19/T15)</f>
        <v>39.510736857972759</v>
      </c>
      <c r="L14">
        <f>K14*(1+X42)</f>
        <v>36.377590022873662</v>
      </c>
      <c r="P14" s="5"/>
      <c r="Q14" s="8">
        <f>ROW()</f>
        <v>14</v>
      </c>
      <c r="R14">
        <v>2004</v>
      </c>
      <c r="S14" s="217">
        <v>1978301</v>
      </c>
      <c r="T14" s="217">
        <v>100391</v>
      </c>
      <c r="U14" s="217">
        <v>710100</v>
      </c>
      <c r="V14" s="3"/>
      <c r="W14" s="3"/>
      <c r="X14" s="3"/>
      <c r="Y14" s="3"/>
    </row>
    <row r="15" spans="2:25" ht="13.9" customHeight="1" x14ac:dyDescent="0.2">
      <c r="B15" s="172" t="s">
        <v>246</v>
      </c>
      <c r="G15">
        <v>11.4</v>
      </c>
      <c r="I15">
        <f>G15</f>
        <v>11.4</v>
      </c>
      <c r="J15" s="8">
        <f>G15</f>
        <v>11.4</v>
      </c>
      <c r="K15">
        <f>G15</f>
        <v>11.4</v>
      </c>
      <c r="L15">
        <f>K15</f>
        <v>11.4</v>
      </c>
      <c r="Q15" s="8">
        <f>ROW()</f>
        <v>15</v>
      </c>
      <c r="R15">
        <v>2005</v>
      </c>
      <c r="S15" s="217">
        <v>2012873</v>
      </c>
      <c r="T15" s="217">
        <v>99840</v>
      </c>
      <c r="U15" s="217">
        <v>760960</v>
      </c>
      <c r="V15" s="3"/>
      <c r="W15" s="3"/>
      <c r="X15" s="3"/>
      <c r="Y15" s="3"/>
    </row>
    <row r="16" spans="2:25" ht="13.9" customHeight="1" x14ac:dyDescent="0.2">
      <c r="B16" s="172" t="s">
        <v>247</v>
      </c>
      <c r="G16">
        <v>0.4</v>
      </c>
      <c r="I16">
        <f>G16</f>
        <v>0.4</v>
      </c>
      <c r="J16" s="8">
        <f>G16</f>
        <v>0.4</v>
      </c>
      <c r="K16">
        <f>G16</f>
        <v>0.4</v>
      </c>
      <c r="P16" s="512" t="s">
        <v>59</v>
      </c>
      <c r="Q16" s="8">
        <f>ROW()</f>
        <v>16</v>
      </c>
      <c r="R16">
        <v>2006</v>
      </c>
      <c r="S16" s="217">
        <v>1990511</v>
      </c>
      <c r="T16" s="217">
        <v>44460</v>
      </c>
      <c r="U16" s="217">
        <v>816441</v>
      </c>
      <c r="V16" s="3"/>
      <c r="W16" s="3"/>
      <c r="X16" s="3"/>
      <c r="Y16" s="3"/>
    </row>
    <row r="17" spans="2:27" ht="13.9" customHeight="1" x14ac:dyDescent="0.2">
      <c r="B17" s="31" t="s">
        <v>90</v>
      </c>
      <c r="I17" s="57"/>
      <c r="J17" s="57"/>
      <c r="K17" s="162">
        <f>K11/G11-1</f>
        <v>-0.10221656119680067</v>
      </c>
      <c r="L17" s="142"/>
      <c r="M17" s="57"/>
      <c r="N17" s="57"/>
      <c r="P17" s="513"/>
      <c r="Q17" s="8">
        <f>ROW()</f>
        <v>17</v>
      </c>
      <c r="R17">
        <v>2007</v>
      </c>
      <c r="S17" s="217">
        <v>2016455.584</v>
      </c>
      <c r="T17" s="217">
        <v>65738.978000000003</v>
      </c>
      <c r="U17" s="217">
        <v>896590</v>
      </c>
      <c r="V17" s="3"/>
      <c r="W17" s="3"/>
      <c r="X17" s="3"/>
      <c r="Y17" s="3"/>
    </row>
    <row r="18" spans="2:27" ht="13.9" customHeight="1" x14ac:dyDescent="0.2">
      <c r="B18" s="31" t="s">
        <v>175</v>
      </c>
      <c r="I18" s="57"/>
      <c r="J18" s="57"/>
      <c r="K18" s="57"/>
      <c r="L18" s="57"/>
      <c r="M18" s="57"/>
      <c r="P18" s="513"/>
      <c r="Q18" s="8">
        <f>ROW()</f>
        <v>18</v>
      </c>
      <c r="R18">
        <v>2008</v>
      </c>
      <c r="S18" s="217">
        <v>1985801.247</v>
      </c>
      <c r="T18" s="217">
        <v>46242.612000000001</v>
      </c>
      <c r="U18" s="217">
        <v>882980.59900000005</v>
      </c>
      <c r="V18" s="3"/>
      <c r="W18" s="217">
        <v>1064502.8030000001</v>
      </c>
      <c r="X18" s="217">
        <v>92948.375</v>
      </c>
      <c r="Y18" s="217">
        <v>7689.38</v>
      </c>
    </row>
    <row r="19" spans="2:27" ht="13.9" customHeight="1" x14ac:dyDescent="0.2">
      <c r="B19" s="31"/>
      <c r="G19" s="96">
        <v>2005</v>
      </c>
      <c r="H19" s="96"/>
      <c r="I19" s="96">
        <v>2007</v>
      </c>
      <c r="J19" s="96">
        <v>2008</v>
      </c>
      <c r="K19" s="96">
        <v>2009</v>
      </c>
      <c r="L19" s="96">
        <v>2010</v>
      </c>
      <c r="M19" s="96">
        <v>2011</v>
      </c>
      <c r="P19" s="513"/>
      <c r="Q19" s="8">
        <f>ROW()</f>
        <v>19</v>
      </c>
      <c r="R19">
        <v>2009</v>
      </c>
      <c r="S19" s="217">
        <v>1755904.253</v>
      </c>
      <c r="T19" s="217">
        <v>38941.283000000003</v>
      </c>
      <c r="U19" s="217">
        <v>920873.19700000004</v>
      </c>
      <c r="V19" s="3"/>
      <c r="W19" s="217">
        <v>955190.27</v>
      </c>
      <c r="X19" s="217">
        <v>80829.58</v>
      </c>
      <c r="Y19" s="217">
        <v>7937.8559999999998</v>
      </c>
    </row>
    <row r="20" spans="2:27" ht="13.9" customHeight="1" x14ac:dyDescent="0.2">
      <c r="B20" s="9" t="s">
        <v>65</v>
      </c>
      <c r="C20" s="31"/>
      <c r="D20" s="31"/>
      <c r="E20" s="31"/>
      <c r="F20" s="31"/>
      <c r="G20" s="144">
        <v>4055.4</v>
      </c>
      <c r="H20" s="31"/>
      <c r="I20" s="144">
        <f>4156744.724/1000</f>
        <v>4156.7447240000001</v>
      </c>
      <c r="J20" s="144">
        <f>4119387.76/1000</f>
        <v>4119.3877599999996</v>
      </c>
      <c r="K20" s="144">
        <v>3950.2302119999999</v>
      </c>
      <c r="L20" s="144">
        <v>4120.0279790000004</v>
      </c>
      <c r="P20" s="513"/>
      <c r="Q20" s="8">
        <f>ROW()</f>
        <v>20</v>
      </c>
      <c r="R20">
        <v>2010</v>
      </c>
      <c r="S20" s="217">
        <v>1850749.906</v>
      </c>
      <c r="T20" s="217">
        <v>36924.908000000003</v>
      </c>
      <c r="U20" s="217">
        <v>981814.68599999999</v>
      </c>
      <c r="V20" s="3"/>
      <c r="W20" s="217">
        <v>1000955.611</v>
      </c>
      <c r="X20" s="217">
        <v>74419.906000000003</v>
      </c>
      <c r="Y20" s="217">
        <v>8460.3439999999991</v>
      </c>
    </row>
    <row r="21" spans="2:27" ht="13.9" customHeight="1" x14ac:dyDescent="0.2">
      <c r="B21" s="9"/>
      <c r="C21" s="31"/>
      <c r="D21" s="31"/>
      <c r="E21" s="31"/>
      <c r="F21" s="31"/>
      <c r="G21" s="144"/>
      <c r="H21" s="31"/>
      <c r="I21" s="144"/>
      <c r="J21" s="144"/>
      <c r="K21" s="144"/>
      <c r="L21" s="144"/>
      <c r="M21" s="144"/>
      <c r="N21" s="144"/>
      <c r="O21" s="144"/>
      <c r="P21" s="513"/>
      <c r="Q21" s="8">
        <f>ROW()</f>
        <v>21</v>
      </c>
      <c r="S21" s="113"/>
      <c r="T21" s="113"/>
      <c r="U21" s="113"/>
      <c r="W21" s="113"/>
      <c r="X21" s="113"/>
      <c r="Y21" s="113"/>
    </row>
    <row r="22" spans="2:27" ht="13.9" customHeight="1" x14ac:dyDescent="0.2">
      <c r="B22" s="9" t="s">
        <v>312</v>
      </c>
      <c r="C22" s="31"/>
      <c r="D22" s="31"/>
      <c r="E22" s="31"/>
      <c r="F22" s="31"/>
      <c r="G22" s="81">
        <f>G48/Electricity!I25*Parameters!$J$15/1000</f>
        <v>1.396891574075559</v>
      </c>
      <c r="H22" s="31"/>
      <c r="I22" s="81">
        <f>I48/Electricity!K25*Parameters!$J$15/1000</f>
        <v>1.3746140374659617</v>
      </c>
      <c r="J22" s="81"/>
      <c r="K22" s="81">
        <f>K48/Electricity!M25*Parameters!$J$15/1000</f>
        <v>1.2825086949340583</v>
      </c>
      <c r="L22" s="81">
        <f>L48/Electricity!N25*Parameters!$J$15/1000</f>
        <v>1.2894671557884438</v>
      </c>
      <c r="M22" s="144"/>
      <c r="N22" s="144"/>
      <c r="O22" s="144"/>
      <c r="P22" s="513"/>
      <c r="Q22" s="8">
        <f>ROW()</f>
        <v>22</v>
      </c>
      <c r="S22" s="113"/>
      <c r="T22" s="113"/>
      <c r="U22" s="113"/>
      <c r="W22" s="113"/>
      <c r="X22" s="113"/>
      <c r="Y22" s="113"/>
    </row>
    <row r="23" spans="2:27" ht="13.9" customHeight="1" x14ac:dyDescent="0.2">
      <c r="B23" s="3" t="s">
        <v>311</v>
      </c>
      <c r="C23" s="31"/>
      <c r="D23" s="31"/>
      <c r="E23" s="31"/>
      <c r="F23" s="31"/>
      <c r="G23" s="31"/>
      <c r="H23" s="31"/>
      <c r="I23" s="31"/>
      <c r="J23" s="31"/>
      <c r="K23" s="31"/>
      <c r="L23" s="31"/>
      <c r="M23" s="31"/>
      <c r="P23" s="513"/>
      <c r="Q23" s="8">
        <f>ROW()</f>
        <v>23</v>
      </c>
    </row>
    <row r="24" spans="2:27" ht="13.9" customHeight="1" x14ac:dyDescent="0.2">
      <c r="B24" s="9" t="s">
        <v>313</v>
      </c>
      <c r="C24" s="31"/>
      <c r="D24" s="31"/>
      <c r="E24" s="31"/>
      <c r="F24" s="31"/>
      <c r="G24" s="81">
        <f>G48*Parameters!$J$15/(G20*1000)</f>
        <v>1.3127019529516197</v>
      </c>
      <c r="H24" s="31"/>
      <c r="I24" s="81">
        <f>I48*Parameters!$J$15/(I20*1000)</f>
        <v>1.2864792897010242</v>
      </c>
      <c r="J24" s="81">
        <f>J48*Parameters!$J$15/(J20*1000)</f>
        <v>1.270043949443594</v>
      </c>
      <c r="K24" s="81">
        <f>K48*Parameters!$J$15/(K20*1000)</f>
        <v>1.2089952341238386</v>
      </c>
      <c r="L24" s="81">
        <f>L48*Parameters!$J$15/(L20*1000)</f>
        <v>1.2157285952741814</v>
      </c>
      <c r="M24" s="31"/>
      <c r="Q24" s="8">
        <f>ROW()</f>
        <v>24</v>
      </c>
    </row>
    <row r="25" spans="2:27" ht="13.9" customHeight="1" x14ac:dyDescent="0.2">
      <c r="B25" s="31" t="s">
        <v>64</v>
      </c>
      <c r="C25" s="31"/>
      <c r="D25" s="31"/>
      <c r="E25" s="31"/>
      <c r="F25" s="31"/>
      <c r="G25" s="31"/>
      <c r="H25" s="31"/>
      <c r="I25" s="31"/>
      <c r="J25" s="31"/>
      <c r="K25" s="31"/>
      <c r="L25" s="31"/>
      <c r="M25" s="31"/>
      <c r="Q25" s="8">
        <f>ROW()</f>
        <v>25</v>
      </c>
      <c r="V25" s="3"/>
      <c r="W25" s="3"/>
      <c r="X25" s="3"/>
      <c r="Y25" s="3"/>
      <c r="Z25" s="3"/>
      <c r="AA25" s="3"/>
    </row>
    <row r="26" spans="2:27" ht="13.9" customHeight="1" x14ac:dyDescent="0.2">
      <c r="B26" s="14" t="s">
        <v>331</v>
      </c>
      <c r="C26" s="31"/>
      <c r="D26" s="31"/>
      <c r="E26" s="31"/>
      <c r="F26" s="31"/>
      <c r="G26" s="31"/>
      <c r="H26" s="31"/>
      <c r="I26" s="31"/>
      <c r="J26" s="31"/>
      <c r="K26" s="31"/>
      <c r="L26" s="81">
        <f>(L24/G24)^(1/(L9-G9))</f>
        <v>0.9847683907816368</v>
      </c>
      <c r="M26" s="31"/>
      <c r="Q26" s="8">
        <f>ROW()</f>
        <v>26</v>
      </c>
      <c r="V26" s="3"/>
      <c r="W26" s="3"/>
      <c r="X26" s="3"/>
      <c r="Y26" s="3"/>
      <c r="Z26" s="3"/>
      <c r="AA26" s="3"/>
    </row>
    <row r="27" spans="2:27" ht="13.9" customHeight="1" x14ac:dyDescent="0.2">
      <c r="B27" s="31"/>
      <c r="C27" s="31"/>
      <c r="D27" s="31"/>
      <c r="E27" s="31"/>
      <c r="F27" s="31"/>
      <c r="G27" s="31"/>
      <c r="H27" s="31"/>
      <c r="I27" s="31"/>
      <c r="J27" s="31"/>
      <c r="K27" s="31"/>
      <c r="L27" s="31"/>
      <c r="M27" s="31"/>
      <c r="Q27" s="8">
        <f>ROW()</f>
        <v>27</v>
      </c>
      <c r="V27" s="3"/>
      <c r="W27" s="3"/>
      <c r="X27" s="3"/>
      <c r="Y27" s="3"/>
      <c r="Z27" s="3"/>
      <c r="AA27" s="3"/>
    </row>
    <row r="28" spans="2:27" ht="13.9" customHeight="1" x14ac:dyDescent="0.2">
      <c r="B28" s="171" t="s">
        <v>243</v>
      </c>
      <c r="C28" s="31"/>
      <c r="D28" s="31"/>
      <c r="E28" s="31"/>
      <c r="F28" s="31"/>
      <c r="G28" s="31"/>
      <c r="H28" s="31"/>
      <c r="I28" s="31"/>
      <c r="J28" s="31"/>
      <c r="K28" s="31"/>
      <c r="L28" s="31"/>
      <c r="M28" s="31"/>
      <c r="Q28" s="8">
        <f>ROW()</f>
        <v>28</v>
      </c>
      <c r="V28" s="3"/>
      <c r="W28" s="3"/>
      <c r="X28" s="3"/>
      <c r="Y28" s="3"/>
      <c r="Z28" s="3"/>
      <c r="AA28" s="3"/>
    </row>
    <row r="29" spans="2:27" ht="13.9" customHeight="1" x14ac:dyDescent="0.2">
      <c r="B29" s="396" t="s">
        <v>639</v>
      </c>
      <c r="C29" s="392"/>
      <c r="D29" s="392"/>
      <c r="E29" s="392"/>
      <c r="F29" s="392"/>
      <c r="G29" s="392"/>
      <c r="H29" s="392"/>
      <c r="I29" s="392"/>
      <c r="J29" s="392"/>
      <c r="K29" s="392"/>
      <c r="L29" s="392"/>
      <c r="M29" s="392"/>
      <c r="Q29" s="8">
        <f>ROW()</f>
        <v>29</v>
      </c>
    </row>
    <row r="30" spans="2:27" ht="13.9" customHeight="1" x14ac:dyDescent="0.2">
      <c r="B30" s="392"/>
      <c r="C30" s="392"/>
      <c r="D30" s="392"/>
      <c r="E30" s="392"/>
      <c r="F30" s="392"/>
      <c r="G30" s="392"/>
      <c r="H30" s="392"/>
      <c r="I30" s="392"/>
      <c r="J30" s="392"/>
      <c r="K30" s="392"/>
      <c r="L30" s="392"/>
      <c r="M30" s="392"/>
      <c r="Q30" s="8">
        <f>ROW()</f>
        <v>30</v>
      </c>
    </row>
    <row r="31" spans="2:27" ht="13.9" customHeight="1" x14ac:dyDescent="0.2">
      <c r="G31" s="96">
        <v>2005</v>
      </c>
      <c r="H31" s="96"/>
      <c r="I31" s="96">
        <v>2007</v>
      </c>
      <c r="J31" s="96">
        <v>2008</v>
      </c>
      <c r="K31" s="96">
        <v>2009</v>
      </c>
      <c r="L31" s="96">
        <v>2010</v>
      </c>
      <c r="M31" s="96">
        <v>2011</v>
      </c>
      <c r="Q31" s="8">
        <f>ROW()</f>
        <v>31</v>
      </c>
    </row>
    <row r="32" spans="2:27" ht="13.9" customHeight="1" x14ac:dyDescent="0.2">
      <c r="B32" s="193" t="s">
        <v>291</v>
      </c>
      <c r="G32" s="8">
        <v>6113.8</v>
      </c>
      <c r="H32" s="8"/>
      <c r="I32" s="8">
        <v>6120</v>
      </c>
      <c r="J32" s="8">
        <v>5921.4</v>
      </c>
      <c r="K32" s="8">
        <v>5505.2</v>
      </c>
      <c r="L32" s="216"/>
      <c r="M32" s="216"/>
      <c r="Q32" s="8">
        <f>ROW()</f>
        <v>32</v>
      </c>
      <c r="R32" s="396" t="s">
        <v>288</v>
      </c>
      <c r="S32" s="392"/>
      <c r="T32" s="392"/>
      <c r="U32" s="392"/>
      <c r="V32" s="392"/>
      <c r="W32" s="392"/>
      <c r="X32" s="392"/>
      <c r="Y32" s="392"/>
      <c r="Z32" s="392"/>
      <c r="AA32" s="392"/>
    </row>
    <row r="33" spans="2:27" ht="13.9" customHeight="1" x14ac:dyDescent="0.2">
      <c r="B33" s="193" t="s">
        <v>292</v>
      </c>
      <c r="G33" s="8">
        <v>5753.2</v>
      </c>
      <c r="H33" s="8"/>
      <c r="I33" s="8">
        <v>5756.7</v>
      </c>
      <c r="J33" s="8">
        <v>5565.9</v>
      </c>
      <c r="K33" s="8">
        <v>5209</v>
      </c>
      <c r="L33" s="8"/>
      <c r="M33" s="8"/>
      <c r="Q33" s="8">
        <f>ROW()</f>
        <v>33</v>
      </c>
      <c r="R33" s="392"/>
      <c r="S33" s="392"/>
      <c r="T33" s="392"/>
      <c r="U33" s="392"/>
      <c r="V33" s="392"/>
      <c r="W33" s="392"/>
      <c r="X33" s="392"/>
      <c r="Y33" s="392"/>
      <c r="Z33" s="392"/>
      <c r="AA33" s="392"/>
    </row>
    <row r="34" spans="2:27" ht="13.9" customHeight="1" x14ac:dyDescent="0.2">
      <c r="B34" s="193" t="s">
        <v>293</v>
      </c>
      <c r="G34" s="8">
        <v>143.4</v>
      </c>
      <c r="H34" s="216"/>
      <c r="I34" s="8">
        <v>137.19999999999999</v>
      </c>
      <c r="J34" s="8">
        <v>141</v>
      </c>
      <c r="K34" s="8">
        <v>123.4</v>
      </c>
      <c r="L34" s="8"/>
      <c r="M34" s="8"/>
      <c r="Q34" s="8">
        <f>ROW()</f>
        <v>34</v>
      </c>
      <c r="R34" s="396"/>
      <c r="S34" s="392"/>
      <c r="T34" s="392"/>
      <c r="U34" s="392"/>
      <c r="V34" s="392"/>
      <c r="W34" s="392"/>
      <c r="X34" s="392"/>
      <c r="Y34" s="392"/>
      <c r="Z34" s="392"/>
      <c r="AA34" s="392"/>
    </row>
    <row r="35" spans="2:27" ht="13.9" customHeight="1" x14ac:dyDescent="0.2">
      <c r="B35" s="194" t="str">
        <f>CONCATENATE("20 misc. incl Iron&amp;Steel, Cement (Row ",Q32, " less ",Q33, " and ",Q34,")")</f>
        <v>20 misc. incl Iron&amp;Steel, Cement (Row 32 less 33 and 34)</v>
      </c>
      <c r="G35" s="8">
        <f>G32-G33-G34</f>
        <v>217.20000000000036</v>
      </c>
      <c r="H35" s="216"/>
      <c r="I35" s="8">
        <f>I32-I33-I34</f>
        <v>226.10000000000019</v>
      </c>
      <c r="J35" s="8">
        <f>J32-J33-J34</f>
        <v>214.5</v>
      </c>
      <c r="K35" s="8">
        <f>K32-K33-K34</f>
        <v>172.79999999999981</v>
      </c>
      <c r="L35" s="8"/>
      <c r="M35" s="8"/>
      <c r="Q35" s="8">
        <f>ROW()</f>
        <v>35</v>
      </c>
      <c r="R35" s="181"/>
      <c r="S35" s="181"/>
      <c r="T35" s="181"/>
      <c r="U35" s="181"/>
      <c r="V35" s="181"/>
      <c r="W35" s="181"/>
      <c r="X35" s="181"/>
      <c r="Y35" s="181"/>
      <c r="Z35" s="181"/>
      <c r="AA35" s="181"/>
    </row>
    <row r="36" spans="2:27" ht="13.9" customHeight="1" x14ac:dyDescent="0.2">
      <c r="B36" s="193" t="s">
        <v>269</v>
      </c>
      <c r="G36" s="8">
        <v>109.7</v>
      </c>
      <c r="H36" s="216"/>
      <c r="I36" s="8">
        <v>127.6</v>
      </c>
      <c r="J36" s="8">
        <v>133.69999999999999</v>
      </c>
      <c r="K36" s="8">
        <v>123.1</v>
      </c>
      <c r="L36" s="8"/>
      <c r="M36" s="8"/>
      <c r="Q36" s="8">
        <f>ROW()</f>
        <v>36</v>
      </c>
      <c r="R36" s="181"/>
      <c r="S36" s="181"/>
      <c r="T36" s="181"/>
      <c r="U36" s="181"/>
      <c r="V36" s="181"/>
      <c r="W36" s="181"/>
      <c r="X36" s="181"/>
      <c r="Y36" s="181"/>
      <c r="Z36" s="181"/>
      <c r="AA36" s="181"/>
    </row>
    <row r="37" spans="2:27" s="9" customFormat="1" ht="13.9" customHeight="1" x14ac:dyDescent="0.2">
      <c r="B37" s="195" t="str">
        <f>CONCATENATE("All CO2 from FF Comb + IBF), i.e., Rows ",Q33, " + ",Q36, )</f>
        <v>All CO2 from FF Comb + IBF), i.e., Rows 33 + 36</v>
      </c>
      <c r="G37" s="9">
        <f>G33+G36</f>
        <v>5862.9</v>
      </c>
      <c r="H37" s="96"/>
      <c r="I37" s="9">
        <f>I33+I36</f>
        <v>5884.3</v>
      </c>
      <c r="J37" s="9">
        <f>J33+J36</f>
        <v>5699.5999999999995</v>
      </c>
      <c r="K37" s="9">
        <f>K33+K36</f>
        <v>5332.1</v>
      </c>
      <c r="Q37" s="8">
        <f>ROW()</f>
        <v>37</v>
      </c>
      <c r="R37" s="182"/>
      <c r="S37" s="182"/>
      <c r="T37" s="182"/>
      <c r="U37" s="182"/>
      <c r="V37" s="182"/>
      <c r="W37" s="182"/>
      <c r="X37" s="182"/>
      <c r="Y37" s="182"/>
      <c r="Z37" s="182"/>
      <c r="AA37" s="182"/>
    </row>
    <row r="38" spans="2:27" ht="13.9" customHeight="1" x14ac:dyDescent="0.2">
      <c r="B38" s="171"/>
      <c r="H38" s="96"/>
      <c r="L38" s="512" t="str">
        <f>CONCATENATE("Prorated from 2009, using fuel growth rates in Row ",Q42, ".")</f>
        <v>Prorated from 2009, using fuel growth rates in Row 42.</v>
      </c>
      <c r="Q38" s="8">
        <f>ROW()</f>
        <v>38</v>
      </c>
      <c r="R38" s="181"/>
      <c r="S38" s="181"/>
      <c r="T38" s="181"/>
      <c r="U38" s="181"/>
      <c r="V38" s="181"/>
      <c r="W38" s="181"/>
      <c r="X38" s="181"/>
      <c r="Y38" s="181"/>
      <c r="Z38" s="181"/>
      <c r="AA38" s="181"/>
    </row>
    <row r="39" spans="2:27" ht="13.9" customHeight="1" x14ac:dyDescent="0.2">
      <c r="B39" s="171"/>
      <c r="H39" s="96"/>
      <c r="L39" s="533"/>
      <c r="Q39" s="8">
        <f>ROW()</f>
        <v>39</v>
      </c>
      <c r="R39" s="181"/>
      <c r="S39" s="181"/>
      <c r="T39" s="181"/>
      <c r="U39" s="181"/>
      <c r="V39" s="181"/>
      <c r="W39" s="181"/>
      <c r="X39" s="181"/>
      <c r="Y39" s="181"/>
      <c r="Z39" s="181"/>
      <c r="AA39" s="181"/>
    </row>
    <row r="40" spans="2:27" ht="13.9" customHeight="1" x14ac:dyDescent="0.2">
      <c r="B40" s="171"/>
      <c r="G40" s="96"/>
      <c r="H40" s="96"/>
      <c r="I40" s="96"/>
      <c r="J40" s="96"/>
      <c r="K40" s="96"/>
      <c r="L40" s="533"/>
      <c r="M40" s="96"/>
      <c r="Q40" s="8">
        <f>ROW()</f>
        <v>40</v>
      </c>
      <c r="R40" s="181"/>
      <c r="S40" s="181"/>
      <c r="T40" s="181"/>
      <c r="U40" s="181"/>
      <c r="V40" s="181"/>
      <c r="W40" s="181"/>
      <c r="X40" s="181"/>
      <c r="Y40" s="181"/>
      <c r="Z40" s="181"/>
      <c r="AA40" s="181"/>
    </row>
    <row r="41" spans="2:27" ht="13.9" customHeight="1" x14ac:dyDescent="0.2">
      <c r="B41" s="9" t="s">
        <v>244</v>
      </c>
      <c r="G41" s="42">
        <v>2402.1</v>
      </c>
      <c r="H41" s="42"/>
      <c r="I41" s="42">
        <v>2412.8000000000002</v>
      </c>
      <c r="J41" s="42">
        <v>2360.9</v>
      </c>
      <c r="K41" s="144">
        <v>2154</v>
      </c>
      <c r="L41" s="533"/>
      <c r="Q41" s="8">
        <f>ROW()</f>
        <v>41</v>
      </c>
      <c r="R41" s="123" t="s">
        <v>143</v>
      </c>
      <c r="S41" s="143">
        <f t="shared" ref="S41:U42" si="0">(S19-S18)/S18</f>
        <v>-0.1157703946189535</v>
      </c>
      <c r="T41" s="143">
        <f t="shared" si="0"/>
        <v>-0.1578917946936042</v>
      </c>
      <c r="U41" s="143">
        <f t="shared" si="0"/>
        <v>4.2914417420852072E-2</v>
      </c>
      <c r="V41" s="3"/>
      <c r="W41" s="143">
        <f t="shared" ref="W41:Y42" si="1">(W19-W18)/W18</f>
        <v>-0.10268881649905814</v>
      </c>
      <c r="X41" s="143">
        <f t="shared" si="1"/>
        <v>-0.13038199968530917</v>
      </c>
      <c r="Y41" s="143">
        <f t="shared" si="1"/>
        <v>3.2314178776442271E-2</v>
      </c>
      <c r="Z41" s="3"/>
      <c r="AA41" s="3"/>
    </row>
    <row r="42" spans="2:27" ht="13.9" customHeight="1" x14ac:dyDescent="0.2">
      <c r="B42" s="115" t="s">
        <v>278</v>
      </c>
      <c r="C42" s="57"/>
      <c r="D42" s="57"/>
      <c r="E42" s="57"/>
      <c r="F42" s="57"/>
      <c r="G42" s="57"/>
      <c r="H42" s="57"/>
      <c r="I42" s="57"/>
      <c r="J42" s="57"/>
      <c r="K42" s="57"/>
      <c r="L42" s="533"/>
      <c r="Q42" s="8">
        <f>ROW()</f>
        <v>42</v>
      </c>
      <c r="R42" s="123" t="s">
        <v>290</v>
      </c>
      <c r="S42" s="143">
        <f t="shared" si="0"/>
        <v>5.4015276082368446E-2</v>
      </c>
      <c r="T42" s="143">
        <f t="shared" si="0"/>
        <v>-5.1779881007002253E-2</v>
      </c>
      <c r="U42" s="143">
        <f t="shared" si="0"/>
        <v>6.6177937634121345E-2</v>
      </c>
      <c r="W42" s="143">
        <f t="shared" si="1"/>
        <v>4.7912277205252533E-2</v>
      </c>
      <c r="X42" s="143">
        <f t="shared" si="1"/>
        <v>-7.9298618154393472E-2</v>
      </c>
      <c r="Y42" s="143">
        <f t="shared" si="1"/>
        <v>6.5822307686105586E-2</v>
      </c>
    </row>
    <row r="43" spans="2:27" ht="13.9" customHeight="1" x14ac:dyDescent="0.2">
      <c r="B43" s="172" t="s">
        <v>248</v>
      </c>
      <c r="G43">
        <v>1983.8</v>
      </c>
      <c r="I43">
        <v>1987.3</v>
      </c>
      <c r="J43">
        <v>1959.4</v>
      </c>
      <c r="K43">
        <v>1747.6</v>
      </c>
      <c r="L43" s="8">
        <f>K43*(1+W42)</f>
        <v>1831.3314956438992</v>
      </c>
      <c r="Q43" s="8">
        <f>ROW()</f>
        <v>43</v>
      </c>
      <c r="R43" s="514" t="s">
        <v>289</v>
      </c>
      <c r="S43" s="449"/>
      <c r="T43" s="449"/>
      <c r="U43" s="449"/>
      <c r="V43" s="449"/>
      <c r="W43" s="449"/>
      <c r="X43" s="449"/>
      <c r="Y43" s="449"/>
      <c r="Z43" s="449"/>
      <c r="AA43" s="449"/>
    </row>
    <row r="44" spans="2:27" ht="13.9" customHeight="1" x14ac:dyDescent="0.2">
      <c r="B44" s="172" t="s">
        <v>249</v>
      </c>
      <c r="G44">
        <v>318.8</v>
      </c>
      <c r="I44">
        <v>371.3</v>
      </c>
      <c r="J44">
        <v>361.9</v>
      </c>
      <c r="K44">
        <v>373.1</v>
      </c>
      <c r="L44" s="8">
        <f>K44*(1+Y42)</f>
        <v>397.65830299768601</v>
      </c>
      <c r="Q44" s="8">
        <f>ROW()</f>
        <v>44</v>
      </c>
      <c r="R44" s="449"/>
      <c r="S44" s="449"/>
      <c r="T44" s="449"/>
      <c r="U44" s="449"/>
      <c r="V44" s="449"/>
      <c r="W44" s="449"/>
      <c r="X44" s="449"/>
      <c r="Y44" s="449"/>
      <c r="Z44" s="449"/>
      <c r="AA44" s="449"/>
    </row>
    <row r="45" spans="2:27" ht="13.9" customHeight="1" x14ac:dyDescent="0.2">
      <c r="B45" s="172" t="s">
        <v>250</v>
      </c>
      <c r="G45">
        <v>99.2</v>
      </c>
      <c r="I45">
        <v>53.9</v>
      </c>
      <c r="J45">
        <v>39.200000000000003</v>
      </c>
      <c r="K45">
        <v>32.9</v>
      </c>
      <c r="L45" s="8">
        <f>K45*(1+X42)</f>
        <v>30.291075462720453</v>
      </c>
      <c r="Q45" s="8">
        <f>ROW()</f>
        <v>45</v>
      </c>
      <c r="R45" s="123"/>
      <c r="S45" s="143"/>
      <c r="T45" s="143"/>
      <c r="U45" s="143"/>
    </row>
    <row r="46" spans="2:27" ht="13.9" customHeight="1" x14ac:dyDescent="0.2">
      <c r="B46" s="172" t="s">
        <v>251</v>
      </c>
      <c r="G46">
        <v>12.5</v>
      </c>
      <c r="I46">
        <v>12.7</v>
      </c>
      <c r="J46">
        <v>12.2</v>
      </c>
      <c r="K46">
        <v>12.3</v>
      </c>
      <c r="L46" s="8">
        <f>K46</f>
        <v>12.3</v>
      </c>
      <c r="Q46" s="8">
        <f>ROW()</f>
        <v>46</v>
      </c>
      <c r="R46" s="123"/>
      <c r="S46" s="143"/>
      <c r="T46" s="143"/>
      <c r="U46" s="143"/>
    </row>
    <row r="47" spans="2:27" ht="13.9" customHeight="1" x14ac:dyDescent="0.2">
      <c r="B47" s="172" t="s">
        <v>252</v>
      </c>
      <c r="G47">
        <v>0.4</v>
      </c>
      <c r="I47">
        <v>0.4</v>
      </c>
      <c r="J47">
        <v>0.4</v>
      </c>
      <c r="K47">
        <v>0.4</v>
      </c>
      <c r="L47" s="8"/>
      <c r="Q47" s="8">
        <f>ROW()</f>
        <v>47</v>
      </c>
    </row>
    <row r="48" spans="2:27" ht="13.9" customHeight="1" x14ac:dyDescent="0.2">
      <c r="B48" s="9" t="s">
        <v>280</v>
      </c>
      <c r="G48" s="9">
        <f>SUM(G43:G46)</f>
        <v>2414.2999999999997</v>
      </c>
      <c r="H48" s="9"/>
      <c r="I48" s="9">
        <f>SUM(I43:I46)</f>
        <v>2425.1999999999998</v>
      </c>
      <c r="J48" s="9">
        <f>SUM(J43:J46)</f>
        <v>2372.6999999999998</v>
      </c>
      <c r="K48" s="9">
        <f>SUM(K43:K46)</f>
        <v>2165.9</v>
      </c>
      <c r="L48" s="10">
        <f>SUM(L43:L46)</f>
        <v>2271.5808741043061</v>
      </c>
      <c r="Q48" s="8">
        <f>ROW()</f>
        <v>48</v>
      </c>
    </row>
    <row r="49" spans="2:17" ht="13.9" customHeight="1" x14ac:dyDescent="0.2">
      <c r="B49" s="115" t="s">
        <v>279</v>
      </c>
      <c r="C49" s="57"/>
      <c r="D49" s="57"/>
      <c r="E49" s="57"/>
      <c r="F49" s="57"/>
      <c r="G49" s="57"/>
      <c r="H49" s="57"/>
      <c r="I49" s="57"/>
      <c r="J49" s="57"/>
      <c r="K49" s="57"/>
      <c r="Q49" s="8">
        <f>ROW()</f>
        <v>49</v>
      </c>
    </row>
    <row r="50" spans="2:17" ht="13.9" customHeight="1" x14ac:dyDescent="0.2">
      <c r="G50" s="96">
        <v>2005</v>
      </c>
      <c r="H50" s="96"/>
      <c r="I50" s="96">
        <v>2007</v>
      </c>
      <c r="J50" s="96">
        <v>2008</v>
      </c>
      <c r="K50" s="96">
        <v>2009</v>
      </c>
      <c r="L50" s="96">
        <v>2010</v>
      </c>
      <c r="M50" s="96">
        <v>2011</v>
      </c>
      <c r="Q50" s="8">
        <f>ROW()</f>
        <v>50</v>
      </c>
    </row>
    <row r="51" spans="2:17" ht="13.9" customHeight="1" x14ac:dyDescent="0.2">
      <c r="B51" s="9" t="s">
        <v>253</v>
      </c>
      <c r="G51" s="10">
        <f>SUM(G52:G62)</f>
        <v>1911.4999999999998</v>
      </c>
      <c r="I51" s="10">
        <f>SUM(I52:I62)</f>
        <v>1909.2999999999995</v>
      </c>
      <c r="J51" s="10">
        <f>SUM(J52:J62)</f>
        <v>1804</v>
      </c>
      <c r="K51" s="10">
        <f>SUM(K52:K62)</f>
        <v>1732.7</v>
      </c>
      <c r="Q51" s="8">
        <f>ROW()</f>
        <v>51</v>
      </c>
    </row>
    <row r="52" spans="2:17" ht="13.9" customHeight="1" x14ac:dyDescent="0.2">
      <c r="B52" s="172" t="s">
        <v>254</v>
      </c>
      <c r="G52" s="8">
        <v>662.3</v>
      </c>
      <c r="H52" s="8"/>
      <c r="I52" s="8">
        <v>632.79999999999995</v>
      </c>
      <c r="J52" s="8">
        <v>597.9</v>
      </c>
      <c r="K52" s="8">
        <v>597.20000000000005</v>
      </c>
      <c r="Q52" s="8">
        <f>ROW()</f>
        <v>52</v>
      </c>
    </row>
    <row r="53" spans="2:17" ht="13.9" customHeight="1" x14ac:dyDescent="0.2">
      <c r="B53" s="172" t="s">
        <v>255</v>
      </c>
      <c r="G53" s="8">
        <v>505.9</v>
      </c>
      <c r="H53" s="8"/>
      <c r="I53" s="8">
        <v>528.4</v>
      </c>
      <c r="J53" s="8">
        <v>515.1</v>
      </c>
      <c r="K53" s="8">
        <v>514.5</v>
      </c>
      <c r="Q53" s="8">
        <f>ROW()</f>
        <v>53</v>
      </c>
    </row>
    <row r="54" spans="2:17" ht="13.9" customHeight="1" x14ac:dyDescent="0.2">
      <c r="B54" s="172" t="s">
        <v>256</v>
      </c>
      <c r="G54" s="8">
        <v>396</v>
      </c>
      <c r="H54" s="8"/>
      <c r="I54" s="8">
        <v>412.5</v>
      </c>
      <c r="J54" s="8">
        <v>390.4</v>
      </c>
      <c r="K54" s="8">
        <v>353.1</v>
      </c>
      <c r="Q54" s="8">
        <f>ROW()</f>
        <v>54</v>
      </c>
    </row>
    <row r="55" spans="2:17" ht="13.9" customHeight="1" x14ac:dyDescent="0.2">
      <c r="B55" s="172" t="s">
        <v>257</v>
      </c>
      <c r="G55" s="8">
        <v>11.8</v>
      </c>
      <c r="H55" s="8"/>
      <c r="I55" s="8">
        <v>12.1</v>
      </c>
      <c r="J55" s="8">
        <v>11.8</v>
      </c>
      <c r="K55" s="8">
        <v>10.8</v>
      </c>
      <c r="Q55" s="8">
        <f>ROW()</f>
        <v>55</v>
      </c>
    </row>
    <row r="56" spans="2:17" ht="13.9" customHeight="1" x14ac:dyDescent="0.2">
      <c r="B56" s="172" t="s">
        <v>258</v>
      </c>
      <c r="G56" s="8">
        <v>1.6</v>
      </c>
      <c r="H56" s="8"/>
      <c r="I56" s="8">
        <v>2.1</v>
      </c>
      <c r="J56" s="8">
        <v>2.1</v>
      </c>
      <c r="K56" s="8">
        <v>2.1</v>
      </c>
      <c r="Q56" s="8">
        <f>ROW()</f>
        <v>56</v>
      </c>
    </row>
    <row r="57" spans="2:17" ht="13.9" customHeight="1" x14ac:dyDescent="0.2">
      <c r="B57" s="172" t="s">
        <v>259</v>
      </c>
      <c r="G57" s="8">
        <v>161.19999999999999</v>
      </c>
      <c r="H57" s="8"/>
      <c r="I57" s="8">
        <v>138.1</v>
      </c>
      <c r="J57" s="8">
        <v>122.2</v>
      </c>
      <c r="K57" s="8">
        <v>111.4</v>
      </c>
      <c r="Q57" s="8">
        <f>ROW()</f>
        <v>57</v>
      </c>
    </row>
    <row r="58" spans="2:17" ht="13.9" customHeight="1" x14ac:dyDescent="0.2">
      <c r="B58" s="172" t="s">
        <v>260</v>
      </c>
      <c r="G58" s="8">
        <v>35.5</v>
      </c>
      <c r="H58" s="8"/>
      <c r="I58" s="8">
        <v>32.799999999999997</v>
      </c>
      <c r="J58" s="8">
        <v>34.799999999999997</v>
      </c>
      <c r="K58" s="8">
        <v>29.3</v>
      </c>
      <c r="Q58" s="8">
        <f>ROW()</f>
        <v>58</v>
      </c>
    </row>
    <row r="59" spans="2:17" ht="13.9" customHeight="1" x14ac:dyDescent="0.2">
      <c r="B59" s="172" t="s">
        <v>261</v>
      </c>
      <c r="G59" s="8">
        <v>44.5</v>
      </c>
      <c r="H59" s="8"/>
      <c r="I59" s="8">
        <v>54.4</v>
      </c>
      <c r="J59" s="8">
        <v>36.6</v>
      </c>
      <c r="K59" s="8">
        <v>30</v>
      </c>
      <c r="Q59" s="8">
        <f>ROW()</f>
        <v>59</v>
      </c>
    </row>
    <row r="60" spans="2:17" ht="13.9" customHeight="1" x14ac:dyDescent="0.2">
      <c r="B60" s="172" t="s">
        <v>262</v>
      </c>
      <c r="G60" s="8">
        <v>50.3</v>
      </c>
      <c r="H60" s="8"/>
      <c r="I60" s="8">
        <v>51.6</v>
      </c>
      <c r="J60" s="8">
        <v>47.9</v>
      </c>
      <c r="K60" s="8">
        <v>40.6</v>
      </c>
      <c r="Q60" s="8">
        <f>ROW()</f>
        <v>60</v>
      </c>
    </row>
    <row r="61" spans="2:17" ht="13.9" customHeight="1" x14ac:dyDescent="0.2">
      <c r="B61" s="172" t="s">
        <v>263</v>
      </c>
      <c r="G61" s="8">
        <v>32.200000000000003</v>
      </c>
      <c r="H61" s="8"/>
      <c r="I61" s="8">
        <v>34.299999999999997</v>
      </c>
      <c r="J61" s="8">
        <v>35.700000000000003</v>
      </c>
      <c r="K61" s="8">
        <v>35.200000000000003</v>
      </c>
      <c r="Q61" s="8">
        <f>ROW()</f>
        <v>61</v>
      </c>
    </row>
    <row r="62" spans="2:17" ht="13.9" customHeight="1" x14ac:dyDescent="0.2">
      <c r="B62" s="172" t="s">
        <v>264</v>
      </c>
      <c r="G62" s="8">
        <v>10.199999999999999</v>
      </c>
      <c r="H62" s="8"/>
      <c r="I62" s="8">
        <v>10.199999999999999</v>
      </c>
      <c r="J62" s="8">
        <v>9.5</v>
      </c>
      <c r="K62" s="8">
        <v>8.5</v>
      </c>
      <c r="Q62" s="8">
        <f>ROW()</f>
        <v>62</v>
      </c>
    </row>
    <row r="63" spans="2:17" ht="13.9" customHeight="1" x14ac:dyDescent="0.2">
      <c r="B63" s="172"/>
      <c r="Q63" s="8">
        <f>ROW()</f>
        <v>63</v>
      </c>
    </row>
    <row r="64" spans="2:17" ht="13.9" customHeight="1" x14ac:dyDescent="0.2">
      <c r="B64" s="172" t="s">
        <v>265</v>
      </c>
      <c r="G64" s="8">
        <f>G52+G53+G56</f>
        <v>1169.7999999999997</v>
      </c>
      <c r="I64" s="8">
        <f>I52+I53+I56</f>
        <v>1163.2999999999997</v>
      </c>
      <c r="J64" s="8">
        <f>J52+J53+J56</f>
        <v>1115.0999999999999</v>
      </c>
      <c r="K64" s="8">
        <f>K52+K53+K56</f>
        <v>1113.8</v>
      </c>
      <c r="Q64" s="8">
        <f>ROW()</f>
        <v>64</v>
      </c>
    </row>
    <row r="65" spans="2:17" ht="13.9" customHeight="1" x14ac:dyDescent="0.2">
      <c r="B65" s="109" t="str">
        <f>CONCATENATE("Sum of Rows ",Q52,", ",Q53," and ",Q56,".")</f>
        <v>Sum of Rows 52, 53 and 56.</v>
      </c>
      <c r="Q65" s="8">
        <f>ROW()</f>
        <v>65</v>
      </c>
    </row>
    <row r="66" spans="2:17" ht="13.9" customHeight="1" x14ac:dyDescent="0.2">
      <c r="B66" s="172"/>
      <c r="Q66" s="8">
        <f>ROW()</f>
        <v>66</v>
      </c>
    </row>
    <row r="67" spans="2:17" ht="13.9" customHeight="1" x14ac:dyDescent="0.2">
      <c r="B67" s="172" t="s">
        <v>266</v>
      </c>
      <c r="G67" s="8">
        <f>G57+G58</f>
        <v>196.7</v>
      </c>
      <c r="I67" s="8">
        <f>I57+I58</f>
        <v>170.89999999999998</v>
      </c>
      <c r="J67" s="8">
        <f>J57+J58</f>
        <v>157</v>
      </c>
      <c r="K67" s="8">
        <f>K57+K58</f>
        <v>140.70000000000002</v>
      </c>
      <c r="Q67" s="8">
        <f>ROW()</f>
        <v>67</v>
      </c>
    </row>
    <row r="68" spans="2:17" ht="13.9" customHeight="1" x14ac:dyDescent="0.2">
      <c r="B68" s="109" t="str">
        <f>CONCATENATE("Sum of Rows ",Q57, " and ",Q58,".")</f>
        <v>Sum of Rows 57 and 58.</v>
      </c>
      <c r="Q68" s="8">
        <f>ROW()</f>
        <v>68</v>
      </c>
    </row>
    <row r="69" spans="2:17" ht="13.9" customHeight="1" x14ac:dyDescent="0.2">
      <c r="B69" s="172"/>
      <c r="Q69" s="8">
        <f>ROW()</f>
        <v>69</v>
      </c>
    </row>
    <row r="70" spans="2:17" ht="13.9" customHeight="1" x14ac:dyDescent="0.2">
      <c r="B70" s="9" t="s">
        <v>277</v>
      </c>
      <c r="Q70" s="8">
        <f>ROW()</f>
        <v>70</v>
      </c>
    </row>
    <row r="71" spans="2:17" ht="13.9" customHeight="1" x14ac:dyDescent="0.2">
      <c r="B71" s="172"/>
      <c r="Q71" s="8">
        <f>ROW()</f>
        <v>71</v>
      </c>
    </row>
    <row r="72" spans="2:17" ht="13.9" customHeight="1" x14ac:dyDescent="0.2">
      <c r="B72" s="9" t="s">
        <v>187</v>
      </c>
      <c r="G72" s="96">
        <v>2005</v>
      </c>
      <c r="H72" s="96"/>
      <c r="I72" s="96">
        <v>2007</v>
      </c>
      <c r="J72" s="96">
        <v>2008</v>
      </c>
      <c r="K72" s="96">
        <v>2009</v>
      </c>
      <c r="Q72" s="8">
        <f>ROW()</f>
        <v>72</v>
      </c>
    </row>
    <row r="73" spans="2:17" s="184" customFormat="1" ht="13.9" customHeight="1" x14ac:dyDescent="0.2">
      <c r="B73" s="183" t="s">
        <v>254</v>
      </c>
      <c r="G73" s="185">
        <v>658</v>
      </c>
      <c r="H73" s="185"/>
      <c r="I73" s="185">
        <v>628.70000000000005</v>
      </c>
      <c r="J73" s="185">
        <v>594</v>
      </c>
      <c r="K73" s="185">
        <v>593.29999999999995</v>
      </c>
      <c r="Q73" s="8">
        <f>ROW()</f>
        <v>73</v>
      </c>
    </row>
    <row r="74" spans="2:17" s="184" customFormat="1" ht="13.9" customHeight="1" x14ac:dyDescent="0.2">
      <c r="B74" s="183" t="s">
        <v>255</v>
      </c>
      <c r="G74" s="185">
        <v>478.7</v>
      </c>
      <c r="H74" s="185"/>
      <c r="I74" s="185">
        <v>500.1</v>
      </c>
      <c r="J74" s="185">
        <v>486.5</v>
      </c>
      <c r="K74" s="185">
        <v>485.9</v>
      </c>
      <c r="Q74" s="8">
        <f>ROW()</f>
        <v>74</v>
      </c>
    </row>
    <row r="75" spans="2:17" s="197" customFormat="1" ht="13.9" customHeight="1" x14ac:dyDescent="0.2">
      <c r="B75" s="196" t="s">
        <v>256</v>
      </c>
      <c r="G75" s="198">
        <v>34.9</v>
      </c>
      <c r="H75" s="198"/>
      <c r="I75" s="198">
        <v>36.1</v>
      </c>
      <c r="J75" s="198">
        <v>33.700000000000003</v>
      </c>
      <c r="K75" s="198">
        <v>30.6</v>
      </c>
      <c r="Q75" s="8">
        <f>ROW()</f>
        <v>75</v>
      </c>
    </row>
    <row r="76" spans="2:17" ht="13.9" customHeight="1" x14ac:dyDescent="0.2">
      <c r="B76" s="172" t="s">
        <v>257</v>
      </c>
      <c r="G76" s="8">
        <v>0.4</v>
      </c>
      <c r="H76" s="8"/>
      <c r="I76" s="8">
        <v>0.4</v>
      </c>
      <c r="J76" s="8">
        <v>0.4</v>
      </c>
      <c r="K76" s="8">
        <v>0.3</v>
      </c>
      <c r="Q76" s="8">
        <f>ROW()</f>
        <v>76</v>
      </c>
    </row>
    <row r="77" spans="2:17" s="184" customFormat="1" ht="13.9" customHeight="1" x14ac:dyDescent="0.2">
      <c r="B77" s="183" t="s">
        <v>258</v>
      </c>
      <c r="G77" s="185">
        <v>1.6</v>
      </c>
      <c r="H77" s="185"/>
      <c r="I77" s="185">
        <v>2.1</v>
      </c>
      <c r="J77" s="185">
        <v>2.1</v>
      </c>
      <c r="K77" s="185">
        <v>2.1</v>
      </c>
      <c r="Q77" s="8">
        <f>ROW()</f>
        <v>77</v>
      </c>
    </row>
    <row r="78" spans="2:17" s="184" customFormat="1" ht="13.9" customHeight="1" x14ac:dyDescent="0.2">
      <c r="B78" s="183" t="s">
        <v>267</v>
      </c>
      <c r="G78" s="185">
        <v>14.1</v>
      </c>
      <c r="H78" s="185"/>
      <c r="I78" s="185">
        <v>13.9</v>
      </c>
      <c r="J78" s="185">
        <v>13.5</v>
      </c>
      <c r="K78" s="185">
        <v>13.4</v>
      </c>
      <c r="Q78" s="8">
        <f>ROW()</f>
        <v>78</v>
      </c>
    </row>
    <row r="79" spans="2:17" ht="13.9" customHeight="1" x14ac:dyDescent="0.2">
      <c r="B79" s="9" t="s">
        <v>268</v>
      </c>
      <c r="G79" s="8"/>
      <c r="H79" s="8"/>
      <c r="I79" s="8"/>
      <c r="J79" s="8"/>
      <c r="K79" s="8"/>
      <c r="Q79" s="8">
        <f>ROW()</f>
        <v>79</v>
      </c>
    </row>
    <row r="80" spans="2:17" s="184" customFormat="1" ht="13.9" customHeight="1" x14ac:dyDescent="0.2">
      <c r="B80" s="183" t="s">
        <v>254</v>
      </c>
      <c r="G80" s="185">
        <v>4.2</v>
      </c>
      <c r="H80" s="185"/>
      <c r="I80" s="185">
        <v>4.0999999999999996</v>
      </c>
      <c r="J80" s="185">
        <v>3.9</v>
      </c>
      <c r="K80" s="185">
        <v>3.9</v>
      </c>
      <c r="Q80" s="8">
        <f>ROW()</f>
        <v>80</v>
      </c>
    </row>
    <row r="81" spans="2:17" s="184" customFormat="1" ht="13.9" customHeight="1" x14ac:dyDescent="0.2">
      <c r="B81" s="183" t="s">
        <v>255</v>
      </c>
      <c r="G81" s="185">
        <v>25.8</v>
      </c>
      <c r="H81" s="185"/>
      <c r="I81" s="185">
        <v>27.3</v>
      </c>
      <c r="J81" s="185">
        <v>26.9</v>
      </c>
      <c r="K81" s="185">
        <v>26.7</v>
      </c>
      <c r="Q81" s="8">
        <f>ROW()</f>
        <v>81</v>
      </c>
    </row>
    <row r="82" spans="2:17" s="197" customFormat="1" ht="13.9" customHeight="1" x14ac:dyDescent="0.2">
      <c r="B82" s="196" t="s">
        <v>256</v>
      </c>
      <c r="G82" s="198">
        <v>360.6</v>
      </c>
      <c r="H82" s="198"/>
      <c r="I82" s="198">
        <v>376.1</v>
      </c>
      <c r="J82" s="198">
        <v>356</v>
      </c>
      <c r="K82" s="198">
        <v>321.8</v>
      </c>
      <c r="Q82" s="8">
        <f>ROW()</f>
        <v>82</v>
      </c>
    </row>
    <row r="83" spans="2:17" ht="13.9" customHeight="1" x14ac:dyDescent="0.2">
      <c r="B83" s="172" t="s">
        <v>257</v>
      </c>
      <c r="G83" s="8">
        <v>10.6</v>
      </c>
      <c r="H83" s="8"/>
      <c r="I83" s="8">
        <v>10.8</v>
      </c>
      <c r="J83" s="8">
        <v>10.3</v>
      </c>
      <c r="K83" s="8">
        <v>9.3000000000000007</v>
      </c>
      <c r="Q83" s="8">
        <f>ROW()</f>
        <v>83</v>
      </c>
    </row>
    <row r="84" spans="2:17" s="197" customFormat="1" ht="13.9" customHeight="1" x14ac:dyDescent="0.2">
      <c r="B84" s="196" t="s">
        <v>262</v>
      </c>
      <c r="G84" s="198">
        <v>45.6</v>
      </c>
      <c r="H84" s="198"/>
      <c r="I84" s="198">
        <v>46.6</v>
      </c>
      <c r="J84" s="198">
        <v>43.2</v>
      </c>
      <c r="K84" s="198">
        <v>36.200000000000003</v>
      </c>
      <c r="Q84" s="8">
        <f>ROW()</f>
        <v>84</v>
      </c>
    </row>
    <row r="85" spans="2:17" s="184" customFormat="1" ht="13.9" customHeight="1" x14ac:dyDescent="0.2">
      <c r="B85" s="183" t="s">
        <v>267</v>
      </c>
      <c r="G85" s="185">
        <v>3.1</v>
      </c>
      <c r="H85" s="185"/>
      <c r="I85" s="185">
        <v>3.3</v>
      </c>
      <c r="J85" s="186">
        <v>0.9</v>
      </c>
      <c r="K85" s="185">
        <v>3.5</v>
      </c>
      <c r="Q85" s="8">
        <f>ROW()</f>
        <v>85</v>
      </c>
    </row>
    <row r="86" spans="2:17" s="197" customFormat="1" ht="13.9" customHeight="1" x14ac:dyDescent="0.2">
      <c r="B86" s="196" t="s">
        <v>275</v>
      </c>
      <c r="G86" s="198">
        <v>8.1</v>
      </c>
      <c r="H86" s="198"/>
      <c r="I86" s="198">
        <v>8.1999999999999993</v>
      </c>
      <c r="J86" s="198">
        <v>2.2000000000000002</v>
      </c>
      <c r="K86" s="198">
        <v>1.2</v>
      </c>
      <c r="Q86" s="8">
        <f>ROW()</f>
        <v>86</v>
      </c>
    </row>
    <row r="87" spans="2:17" s="197" customFormat="1" ht="13.9" customHeight="1" x14ac:dyDescent="0.2">
      <c r="B87" s="196" t="s">
        <v>269</v>
      </c>
      <c r="G87" s="198">
        <v>9.4</v>
      </c>
      <c r="H87" s="198"/>
      <c r="I87" s="198">
        <v>8.1999999999999993</v>
      </c>
      <c r="J87" s="198">
        <v>9</v>
      </c>
      <c r="K87" s="198">
        <v>8.3000000000000007</v>
      </c>
      <c r="Q87" s="8">
        <f>ROW()</f>
        <v>87</v>
      </c>
    </row>
    <row r="88" spans="2:17" ht="13.9" customHeight="1" x14ac:dyDescent="0.2">
      <c r="B88" s="9" t="s">
        <v>270</v>
      </c>
      <c r="G88" s="8"/>
      <c r="H88" s="8"/>
      <c r="I88" s="8"/>
      <c r="J88" s="8"/>
      <c r="K88" s="8"/>
      <c r="Q88" s="8">
        <f>ROW()</f>
        <v>88</v>
      </c>
    </row>
    <row r="89" spans="2:17" s="188" customFormat="1" ht="13.9" customHeight="1" x14ac:dyDescent="0.2">
      <c r="B89" s="187" t="s">
        <v>259</v>
      </c>
      <c r="G89" s="189">
        <v>161.19999999999999</v>
      </c>
      <c r="H89" s="189"/>
      <c r="I89" s="189">
        <v>138.1</v>
      </c>
      <c r="J89" s="189">
        <v>122.2</v>
      </c>
      <c r="K89" s="189">
        <v>111.4</v>
      </c>
      <c r="Q89" s="8">
        <f>ROW()</f>
        <v>89</v>
      </c>
    </row>
    <row r="90" spans="2:17" ht="13.9" customHeight="1" x14ac:dyDescent="0.2">
      <c r="B90" s="172" t="s">
        <v>271</v>
      </c>
      <c r="G90" s="8">
        <v>18.100000000000001</v>
      </c>
      <c r="H90" s="8"/>
      <c r="I90" s="8">
        <v>16.100000000000001</v>
      </c>
      <c r="J90" s="8">
        <v>16.3</v>
      </c>
      <c r="K90" s="8">
        <v>14.1</v>
      </c>
      <c r="Q90" s="8">
        <f>ROW()</f>
        <v>90</v>
      </c>
    </row>
    <row r="91" spans="2:17" s="188" customFormat="1" ht="13.9" customHeight="1" x14ac:dyDescent="0.2">
      <c r="B91" s="187" t="s">
        <v>272</v>
      </c>
      <c r="G91" s="189">
        <v>14.9</v>
      </c>
      <c r="H91" s="189"/>
      <c r="I91" s="189">
        <v>14.5</v>
      </c>
      <c r="J91" s="189">
        <v>16.600000000000001</v>
      </c>
      <c r="K91" s="189">
        <v>13.3</v>
      </c>
      <c r="Q91" s="8">
        <f>ROW()</f>
        <v>91</v>
      </c>
    </row>
    <row r="92" spans="2:17" s="188" customFormat="1" ht="13.9" customHeight="1" x14ac:dyDescent="0.2">
      <c r="B92" s="187" t="s">
        <v>276</v>
      </c>
      <c r="G92" s="189">
        <v>56.7</v>
      </c>
      <c r="H92" s="189"/>
      <c r="I92" s="189">
        <v>73.8</v>
      </c>
      <c r="J92" s="189">
        <v>75.5</v>
      </c>
      <c r="K92" s="189">
        <v>69.400000000000006</v>
      </c>
      <c r="Q92" s="8">
        <f>ROW()</f>
        <v>92</v>
      </c>
    </row>
    <row r="93" spans="2:17" ht="13.9" customHeight="1" x14ac:dyDescent="0.2">
      <c r="B93" s="9" t="s">
        <v>273</v>
      </c>
      <c r="G93" s="8"/>
      <c r="H93" s="8"/>
      <c r="I93" s="8"/>
      <c r="J93" s="8"/>
      <c r="K93" s="8"/>
      <c r="N93" s="110"/>
      <c r="O93" s="110"/>
      <c r="P93" s="110"/>
      <c r="Q93" s="8">
        <f>ROW()</f>
        <v>93</v>
      </c>
    </row>
    <row r="94" spans="2:17" s="188" customFormat="1" ht="13.9" customHeight="1" x14ac:dyDescent="0.2">
      <c r="B94" s="187" t="s">
        <v>272</v>
      </c>
      <c r="G94" s="189">
        <v>2.4</v>
      </c>
      <c r="H94" s="189"/>
      <c r="I94" s="189">
        <v>2.2000000000000002</v>
      </c>
      <c r="J94" s="189">
        <v>2</v>
      </c>
      <c r="K94" s="189">
        <v>1.8</v>
      </c>
      <c r="M94" s="110"/>
      <c r="N94" s="110"/>
      <c r="O94" s="110"/>
      <c r="P94" s="110"/>
      <c r="Q94" s="8">
        <f>ROW()</f>
        <v>94</v>
      </c>
    </row>
    <row r="95" spans="2:17" ht="13.9" customHeight="1" x14ac:dyDescent="0.2">
      <c r="B95" s="9" t="s">
        <v>274</v>
      </c>
      <c r="G95" s="8"/>
      <c r="H95" s="8"/>
      <c r="I95" s="8"/>
      <c r="J95" s="8"/>
      <c r="K95" s="8"/>
      <c r="M95" s="110"/>
      <c r="N95" s="110"/>
      <c r="O95" s="110"/>
      <c r="P95" s="110"/>
      <c r="Q95" s="8">
        <f>ROW()</f>
        <v>95</v>
      </c>
    </row>
    <row r="96" spans="2:17" s="197" customFormat="1" ht="13.9" customHeight="1" x14ac:dyDescent="0.2">
      <c r="B96" s="196" t="s">
        <v>275</v>
      </c>
      <c r="G96" s="198">
        <v>19.3</v>
      </c>
      <c r="H96" s="198"/>
      <c r="I96" s="198">
        <v>29</v>
      </c>
      <c r="J96" s="198">
        <v>19.899999999999999</v>
      </c>
      <c r="K96" s="198">
        <v>12</v>
      </c>
      <c r="M96" s="110"/>
      <c r="N96" s="110"/>
      <c r="O96" s="110"/>
      <c r="P96" s="110"/>
      <c r="Q96" s="8">
        <f>ROW()</f>
        <v>96</v>
      </c>
    </row>
    <row r="97" spans="2:17" s="197" customFormat="1" ht="13.9" customHeight="1" x14ac:dyDescent="0.2">
      <c r="B97" s="196" t="s">
        <v>269</v>
      </c>
      <c r="G97" s="198">
        <v>43.6</v>
      </c>
      <c r="H97" s="198"/>
      <c r="I97" s="198">
        <v>45.6</v>
      </c>
      <c r="J97" s="198">
        <v>49.2</v>
      </c>
      <c r="K97" s="198">
        <v>45.4</v>
      </c>
      <c r="M97" s="110"/>
      <c r="N97" s="110"/>
      <c r="O97" s="110"/>
      <c r="P97" s="110"/>
      <c r="Q97" s="8">
        <f>ROW()</f>
        <v>97</v>
      </c>
    </row>
    <row r="98" spans="2:17" ht="13.9" customHeight="1" x14ac:dyDescent="0.2">
      <c r="B98" s="172"/>
      <c r="M98" s="110"/>
      <c r="N98" s="110"/>
      <c r="O98" s="110"/>
      <c r="P98" s="110"/>
      <c r="Q98" s="8">
        <f>ROW()</f>
        <v>98</v>
      </c>
    </row>
    <row r="99" spans="2:17" s="184" customFormat="1" ht="13.9" customHeight="1" x14ac:dyDescent="0.2">
      <c r="B99" s="171" t="s">
        <v>283</v>
      </c>
      <c r="G99" s="190">
        <f>G73+G74+G77+G78+G80+G81+G85</f>
        <v>1185.4999999999998</v>
      </c>
      <c r="I99" s="190">
        <f>I73+I74+I77+I78+I80+I81+I85</f>
        <v>1179.5</v>
      </c>
      <c r="J99" s="190">
        <f>J73+J74+J77+J78+J80+J81+J85</f>
        <v>1127.8000000000002</v>
      </c>
      <c r="K99" s="190">
        <f>K73+K74+K77+K78+K80+K81+K85</f>
        <v>1128.8</v>
      </c>
      <c r="M99" s="517" t="str">
        <f>CONCATENATE("Values in Row ",Q99," appear to 'underpredict' gasoline consumption. For example, figure of ",K99, " million metric tons for 2009 translates to ",ROUND(Graph_Oil!M77,0)/1000," million barrels of gasoline consumption per day, yet 'actual' figure (MER/EIA) for year was 8.986 million. Adjustment figure in Cell L",Q101, " is intended to remove this discrepancy.")</f>
        <v>Values in Row 99 appear to 'underpredict' gasoline consumption. For example, figure of 1128.8 million metric tons for 2009 translates to 8.986 million barrels of gasoline consumption per day, yet 'actual' figure (MER/EIA) for year was 8.986 million. Adjustment figure in Cell L101 is intended to remove this discrepancy.</v>
      </c>
      <c r="N99" s="518"/>
      <c r="O99" s="518"/>
      <c r="P99" s="519"/>
      <c r="Q99" s="8">
        <f>ROW()</f>
        <v>99</v>
      </c>
    </row>
    <row r="100" spans="2:17" ht="13.9" customHeight="1" x14ac:dyDescent="0.2">
      <c r="B100" s="110" t="str">
        <f>CONCATENATE("Sum of Rows: ",Q73,", ",Q74,", ",Q77,", ",Q78,", ",Q80,", ",Q81,", ",Q85,".")</f>
        <v>Sum of Rows: 73, 74, 77, 78, 80, 81, 85.</v>
      </c>
      <c r="M100" s="520"/>
      <c r="N100" s="521"/>
      <c r="O100" s="521"/>
      <c r="P100" s="522"/>
      <c r="Q100" s="8">
        <f>ROW()</f>
        <v>100</v>
      </c>
    </row>
    <row r="101" spans="2:17" ht="13.9" customHeight="1" x14ac:dyDescent="0.2">
      <c r="B101" s="110"/>
      <c r="L101" s="372">
        <v>1.0832999999999999</v>
      </c>
      <c r="M101" s="520"/>
      <c r="N101" s="521"/>
      <c r="O101" s="521"/>
      <c r="P101" s="522"/>
      <c r="Q101" s="8">
        <f>ROW()</f>
        <v>101</v>
      </c>
    </row>
    <row r="102" spans="2:17" ht="13.9" customHeight="1" x14ac:dyDescent="0.2">
      <c r="B102" s="371" t="s">
        <v>640</v>
      </c>
      <c r="G102" s="371">
        <f>G99*$L$101</f>
        <v>1284.2521499999996</v>
      </c>
      <c r="I102" s="371">
        <f>I99*$L$101</f>
        <v>1277.75235</v>
      </c>
      <c r="J102" s="371">
        <f>J99*$L$101</f>
        <v>1221.7457400000001</v>
      </c>
      <c r="K102" s="371">
        <f>K99*$L$101</f>
        <v>1222.8290399999998</v>
      </c>
      <c r="M102" s="520"/>
      <c r="N102" s="521"/>
      <c r="O102" s="521"/>
      <c r="P102" s="522"/>
      <c r="Q102" s="8">
        <f>ROW()</f>
        <v>102</v>
      </c>
    </row>
    <row r="103" spans="2:17" ht="13.9" customHeight="1" x14ac:dyDescent="0.2">
      <c r="B103" s="110"/>
      <c r="M103" s="520"/>
      <c r="N103" s="521"/>
      <c r="O103" s="521"/>
      <c r="P103" s="522"/>
      <c r="Q103" s="8">
        <f>ROW()</f>
        <v>103</v>
      </c>
    </row>
    <row r="104" spans="2:17" ht="13.9" customHeight="1" x14ac:dyDescent="0.2">
      <c r="B104" s="172"/>
      <c r="G104" s="96">
        <v>2005</v>
      </c>
      <c r="H104" s="96"/>
      <c r="I104" s="96">
        <v>2007</v>
      </c>
      <c r="J104" s="96">
        <v>2008</v>
      </c>
      <c r="K104" s="96">
        <v>2009</v>
      </c>
      <c r="M104" s="523"/>
      <c r="N104" s="524"/>
      <c r="O104" s="524"/>
      <c r="P104" s="525"/>
      <c r="Q104" s="8">
        <f>ROW()</f>
        <v>104</v>
      </c>
    </row>
    <row r="105" spans="2:17" ht="13.9" customHeight="1" x14ac:dyDescent="0.2">
      <c r="B105" s="172"/>
      <c r="G105" s="96"/>
      <c r="H105" s="96"/>
      <c r="I105" s="96"/>
      <c r="J105" s="96"/>
      <c r="K105" s="96"/>
      <c r="Q105" s="8">
        <f>ROW()</f>
        <v>105</v>
      </c>
    </row>
    <row r="106" spans="2:17" s="188" customFormat="1" ht="13.9" customHeight="1" x14ac:dyDescent="0.2">
      <c r="B106" s="191" t="s">
        <v>286</v>
      </c>
      <c r="G106" s="192">
        <f>G89+G91+G92+G94</f>
        <v>235.20000000000002</v>
      </c>
      <c r="I106" s="192">
        <f>I89+I91+I92+I94</f>
        <v>228.59999999999997</v>
      </c>
      <c r="J106" s="192">
        <f>J89+J91+J92+J94</f>
        <v>216.3</v>
      </c>
      <c r="K106" s="192">
        <f>K89+K91+K92+K94</f>
        <v>195.90000000000003</v>
      </c>
      <c r="Q106" s="8">
        <f>ROW()</f>
        <v>106</v>
      </c>
    </row>
    <row r="107" spans="2:17" ht="13.9" customHeight="1" x14ac:dyDescent="0.2">
      <c r="B107" s="110" t="str">
        <f>CONCATENATE("Sum of Rows: ",Q89,", ",Q91,", ",Q92,", ",Q94,".")</f>
        <v>Sum of Rows: 89, 91, 92, 94.</v>
      </c>
      <c r="Q107" s="8">
        <f>ROW()</f>
        <v>107</v>
      </c>
    </row>
    <row r="108" spans="2:17" ht="13.9" customHeight="1" x14ac:dyDescent="0.2">
      <c r="B108" s="110"/>
      <c r="Q108" s="8">
        <f>ROW()</f>
        <v>108</v>
      </c>
    </row>
    <row r="109" spans="2:17" s="200" customFormat="1" ht="13.9" customHeight="1" x14ac:dyDescent="0.2">
      <c r="B109" s="199" t="s">
        <v>295</v>
      </c>
      <c r="G109" s="201">
        <f>G75+G82+G84+G86+G87+G96+G97</f>
        <v>521.5</v>
      </c>
      <c r="H109" s="201"/>
      <c r="I109" s="201">
        <f>I75+I82+I84+I86+I87+I96+I97</f>
        <v>549.80000000000007</v>
      </c>
      <c r="J109" s="201">
        <f>J75+J82+J84+J86+J87+J96+J97</f>
        <v>513.19999999999993</v>
      </c>
      <c r="K109" s="201">
        <f>K75+K82+K84+K86+K87+K96+K97</f>
        <v>455.5</v>
      </c>
      <c r="Q109" s="8">
        <f>ROW()</f>
        <v>109</v>
      </c>
    </row>
    <row r="110" spans="2:17" ht="13.9" customHeight="1" x14ac:dyDescent="0.2">
      <c r="B110" s="110" t="str">
        <f>CONCATENATE("Sum of Rows: ",Q75,", ",Q82,", ",Q84,", ",Q86,", ",Q87,", ",Q96,", ",Q97,".")</f>
        <v>Sum of Rows: 75, 82, 84, 86, 87, 96, 97.</v>
      </c>
      <c r="Q110" s="8">
        <f>ROW()</f>
        <v>110</v>
      </c>
    </row>
    <row r="111" spans="2:17" ht="13.9" customHeight="1" x14ac:dyDescent="0.2">
      <c r="B111" s="110"/>
      <c r="Q111" s="8">
        <f>ROW()</f>
        <v>111</v>
      </c>
    </row>
    <row r="112" spans="2:17" ht="13.9" customHeight="1" x14ac:dyDescent="0.2">
      <c r="B112" s="9" t="s">
        <v>294</v>
      </c>
      <c r="G112" s="10">
        <f>G37-G48-G102-G106-G109</f>
        <v>1407.6478500000001</v>
      </c>
      <c r="I112" s="10">
        <f>I37-I48-I102-I106-I109</f>
        <v>1402.9476500000005</v>
      </c>
      <c r="J112" s="10">
        <f>J37-J48-J102-J106-J109</f>
        <v>1375.6542599999993</v>
      </c>
      <c r="K112" s="10">
        <f>K37-K48-K102-K106-K109</f>
        <v>1291.9709600000003</v>
      </c>
      <c r="Q112" s="8">
        <f>ROW()</f>
        <v>112</v>
      </c>
    </row>
    <row r="113" spans="2:26" ht="13.9" customHeight="1" x14ac:dyDescent="0.2">
      <c r="B113" s="110"/>
      <c r="Q113" s="8">
        <f>ROW()</f>
        <v>113</v>
      </c>
    </row>
    <row r="114" spans="2:26" ht="13.9" customHeight="1" x14ac:dyDescent="0.2">
      <c r="Q114" s="8">
        <f>ROW()</f>
        <v>114</v>
      </c>
    </row>
    <row r="115" spans="2:26" ht="13.9" customHeight="1" x14ac:dyDescent="0.2">
      <c r="B115" s="9" t="s">
        <v>61</v>
      </c>
      <c r="G115" s="10">
        <f>1183.4+24.7+3.2</f>
        <v>1211.3000000000002</v>
      </c>
      <c r="H115" s="10"/>
      <c r="I115" s="10">
        <f>G115*(S121/S119)</f>
        <v>1228.0168864769048</v>
      </c>
      <c r="J115" s="10">
        <f>G115*(S122/S119)</f>
        <v>1188.812974099229</v>
      </c>
      <c r="K115" s="10">
        <f>J115*(1+P115)</f>
        <v>1189.7774632656076</v>
      </c>
      <c r="L115" s="97">
        <f>K115/$K$37</f>
        <v>0.22313487430198375</v>
      </c>
      <c r="M115" s="10"/>
      <c r="P115" s="55">
        <f>S123/S122-1</f>
        <v>8.1130437452481274E-4</v>
      </c>
      <c r="Q115" s="8">
        <f>ROW()</f>
        <v>115</v>
      </c>
    </row>
    <row r="116" spans="2:26" ht="13.9" customHeight="1" x14ac:dyDescent="0.2">
      <c r="B116" s="31" t="s">
        <v>92</v>
      </c>
      <c r="G116" s="10"/>
      <c r="H116" s="10"/>
      <c r="I116" s="10"/>
      <c r="J116" s="10"/>
      <c r="K116" s="10"/>
      <c r="L116" s="10"/>
      <c r="M116" s="10"/>
      <c r="P116" s="123" t="s">
        <v>142</v>
      </c>
      <c r="Q116" s="8">
        <f>ROW()</f>
        <v>116</v>
      </c>
      <c r="S116" s="42" t="s">
        <v>348</v>
      </c>
      <c r="T116" s="408" t="s">
        <v>347</v>
      </c>
      <c r="W116" s="408" t="s">
        <v>351</v>
      </c>
    </row>
    <row r="117" spans="2:26" ht="13.9" customHeight="1" x14ac:dyDescent="0.2">
      <c r="B117" s="31" t="s">
        <v>93</v>
      </c>
      <c r="G117" s="10"/>
      <c r="H117" s="10"/>
      <c r="I117" s="10"/>
      <c r="J117" s="10"/>
      <c r="K117" s="10"/>
      <c r="L117" s="10"/>
      <c r="M117" s="10"/>
      <c r="Q117" s="8">
        <f>ROW()</f>
        <v>117</v>
      </c>
      <c r="S117" s="408" t="s">
        <v>349</v>
      </c>
      <c r="T117" s="513"/>
      <c r="U117" s="408" t="s">
        <v>352</v>
      </c>
      <c r="V117" s="408" t="s">
        <v>350</v>
      </c>
      <c r="W117" s="513"/>
      <c r="Z117" s="408" t="s">
        <v>369</v>
      </c>
    </row>
    <row r="118" spans="2:26" ht="13.9" customHeight="1" x14ac:dyDescent="0.2">
      <c r="B118" s="9"/>
      <c r="G118" s="10"/>
      <c r="H118" s="10"/>
      <c r="I118" s="10"/>
      <c r="J118" s="10"/>
      <c r="K118" s="10"/>
      <c r="L118" s="10"/>
      <c r="M118" s="10"/>
      <c r="N118" s="408" t="s">
        <v>91</v>
      </c>
      <c r="O118" s="408" t="s">
        <v>170</v>
      </c>
      <c r="P118" s="515" t="s">
        <v>176</v>
      </c>
      <c r="Q118" s="8">
        <f>ROW()</f>
        <v>118</v>
      </c>
      <c r="S118" s="408"/>
      <c r="T118" s="513"/>
      <c r="U118" s="408"/>
      <c r="V118" s="408"/>
      <c r="W118" s="513"/>
      <c r="Z118" s="408"/>
    </row>
    <row r="119" spans="2:26" ht="13.9" customHeight="1" x14ac:dyDescent="0.2">
      <c r="B119" s="9"/>
      <c r="I119" s="10"/>
      <c r="J119" s="10"/>
      <c r="K119" s="10"/>
      <c r="L119" s="10"/>
      <c r="M119" s="10"/>
      <c r="N119" s="513"/>
      <c r="O119" s="513"/>
      <c r="P119" s="516"/>
      <c r="Q119" s="8">
        <f>ROW()</f>
        <v>119</v>
      </c>
      <c r="R119">
        <v>2005</v>
      </c>
      <c r="S119" s="7">
        <v>9159.2639999999992</v>
      </c>
      <c r="T119" s="7">
        <f>1678.99+19.195</f>
        <v>1698.1849999999999</v>
      </c>
      <c r="U119" s="7">
        <v>919.976</v>
      </c>
      <c r="V119" s="7">
        <v>20802.162</v>
      </c>
      <c r="W119" s="7">
        <f>V119-S119-T119-U119</f>
        <v>9024.737000000001</v>
      </c>
      <c r="Z119">
        <v>4118.0110000000004</v>
      </c>
    </row>
    <row r="120" spans="2:26" ht="13.9" customHeight="1" x14ac:dyDescent="0.2">
      <c r="B120" s="9" t="s">
        <v>62</v>
      </c>
      <c r="G120" s="10">
        <v>246.3</v>
      </c>
      <c r="H120" s="10"/>
      <c r="I120" s="10">
        <f>G120*(T121/T119)</f>
        <v>237.79298798423025</v>
      </c>
      <c r="J120" s="10">
        <f>G120*(T122/T119)</f>
        <v>225.3679410076052</v>
      </c>
      <c r="K120" s="10">
        <f>G120*(T123/T119)</f>
        <v>204.15494495593828</v>
      </c>
      <c r="L120" s="97">
        <f>K120/$K$37</f>
        <v>3.8287906257560483E-2</v>
      </c>
      <c r="M120" s="10"/>
      <c r="N120" s="513"/>
      <c r="O120" s="513"/>
      <c r="P120" s="516"/>
      <c r="Q120" s="8">
        <f>ROW()</f>
        <v>120</v>
      </c>
      <c r="R120">
        <v>2006</v>
      </c>
      <c r="S120" s="7"/>
      <c r="T120" s="7"/>
      <c r="U120" s="7"/>
      <c r="V120" s="7"/>
      <c r="W120" s="7"/>
    </row>
    <row r="121" spans="2:26" ht="13.9" customHeight="1" x14ac:dyDescent="0.2">
      <c r="B121" s="9"/>
      <c r="I121" s="10"/>
      <c r="J121" s="10"/>
      <c r="K121" s="122">
        <f>K120/G120-1</f>
        <v>-0.1711126879580257</v>
      </c>
      <c r="L121" s="142"/>
      <c r="M121" s="10"/>
      <c r="N121" s="513"/>
      <c r="O121" s="513"/>
      <c r="P121" s="516"/>
      <c r="Q121" s="8">
        <f>ROW()</f>
        <v>121</v>
      </c>
      <c r="R121">
        <v>2007</v>
      </c>
      <c r="S121" s="7">
        <v>9285.6689999999999</v>
      </c>
      <c r="T121" s="7">
        <f>1622.386+17.145</f>
        <v>1639.5309999999999</v>
      </c>
      <c r="U121" s="7">
        <v>722.90599999999995</v>
      </c>
      <c r="V121" s="7">
        <v>20680.378000000001</v>
      </c>
      <c r="W121" s="158">
        <f>V121-S121-T121-U121</f>
        <v>9032.2720000000008</v>
      </c>
      <c r="Z121">
        <v>4195.9110000000001</v>
      </c>
    </row>
    <row r="122" spans="2:26" ht="13.9" customHeight="1" x14ac:dyDescent="0.2">
      <c r="B122" s="9" t="s">
        <v>63</v>
      </c>
      <c r="G122" s="10">
        <f>G124-G11-G115-G120</f>
        <v>2219.2999999999993</v>
      </c>
      <c r="H122" s="10"/>
      <c r="I122" s="10">
        <f>G122*(W121/W119)</f>
        <v>2221.1529543298593</v>
      </c>
      <c r="J122" s="10">
        <f>G122*(1+X122)</f>
        <v>2047.4032899142094</v>
      </c>
      <c r="K122" s="10">
        <f>G122*(1+X123)</f>
        <v>1930.3193294112484</v>
      </c>
      <c r="L122" s="97"/>
      <c r="M122" s="10"/>
      <c r="N122" s="513"/>
      <c r="O122" s="513"/>
      <c r="P122" s="516"/>
      <c r="Q122" s="8">
        <f>ROW()</f>
        <v>122</v>
      </c>
      <c r="R122">
        <v>2008</v>
      </c>
      <c r="S122" s="7">
        <v>8989.2279999999992</v>
      </c>
      <c r="T122" s="7">
        <f>1538.554+15.309</f>
        <v>1553.8630000000001</v>
      </c>
      <c r="U122" s="7">
        <v>622.19899999999996</v>
      </c>
      <c r="V122" s="7">
        <v>19497.964</v>
      </c>
      <c r="W122" s="159">
        <f>V122-S122-T122-U122</f>
        <v>8332.6740000000009</v>
      </c>
      <c r="X122" s="152">
        <f>W122/$W$121-1</f>
        <v>-7.7455373354566759E-2</v>
      </c>
      <c r="Z122">
        <v>3945.42</v>
      </c>
    </row>
    <row r="123" spans="2:26" ht="13.9" customHeight="1" x14ac:dyDescent="0.2">
      <c r="K123" s="122">
        <f>K122/G122-1</f>
        <v>-0.13021253124352317</v>
      </c>
      <c r="L123" s="142"/>
      <c r="N123" s="513"/>
      <c r="O123" s="513"/>
      <c r="P123" s="516"/>
      <c r="Q123" s="8">
        <f>ROW()</f>
        <v>123</v>
      </c>
      <c r="R123">
        <v>2009</v>
      </c>
      <c r="S123" s="7">
        <v>8996.5210000000006</v>
      </c>
      <c r="T123" s="7">
        <f>1393.19+14.414</f>
        <v>1407.604</v>
      </c>
      <c r="U123" s="7">
        <v>511.11799999999999</v>
      </c>
      <c r="V123" s="7">
        <v>18771.400000000001</v>
      </c>
      <c r="W123" s="160">
        <f>V123-S123-T123-U123</f>
        <v>7856.1570000000011</v>
      </c>
      <c r="X123" s="153">
        <f>W123/$W$121-1</f>
        <v>-0.13021253124352317</v>
      </c>
      <c r="Z123">
        <v>3631.0810000000001</v>
      </c>
    </row>
    <row r="124" spans="2:26" ht="13.9" customHeight="1" x14ac:dyDescent="0.2">
      <c r="B124" s="9" t="s">
        <v>185</v>
      </c>
      <c r="G124" s="9">
        <f>'GHG''s'!F15</f>
        <v>6074.3</v>
      </c>
      <c r="I124" s="10">
        <f>I11+I115+I120+I122</f>
        <v>6110.4829955756795</v>
      </c>
      <c r="J124" s="10">
        <f>J11+J115+J120+J122</f>
        <v>5829.6823954155643</v>
      </c>
      <c r="K124" s="10"/>
      <c r="L124" s="10"/>
      <c r="N124" s="10">
        <f>G126*(1-17%)</f>
        <v>4959.4989999999998</v>
      </c>
      <c r="O124" s="10">
        <v>5056</v>
      </c>
      <c r="P124" s="154">
        <v>-0.05</v>
      </c>
      <c r="Q124" s="8">
        <f>ROW()</f>
        <v>124</v>
      </c>
      <c r="R124">
        <v>2010</v>
      </c>
      <c r="S124" s="7">
        <v>8992.6540000000005</v>
      </c>
      <c r="T124" s="7">
        <f>1431.649+13.774</f>
        <v>1445.4229999999998</v>
      </c>
      <c r="U124" s="7">
        <v>535.09900000000005</v>
      </c>
      <c r="V124" s="7">
        <v>19180.126</v>
      </c>
      <c r="W124" s="7">
        <f>V124-S124-T124-U124</f>
        <v>8206.9499999999989</v>
      </c>
      <c r="Z124">
        <v>3800.3139999999999</v>
      </c>
    </row>
    <row r="125" spans="2:26" ht="13.9" customHeight="1" x14ac:dyDescent="0.2">
      <c r="K125" s="122">
        <f>K37/G37-1</f>
        <v>-9.0535400569683788E-2</v>
      </c>
      <c r="L125" s="142"/>
      <c r="Q125" s="8">
        <f>ROW()</f>
        <v>125</v>
      </c>
      <c r="R125">
        <v>2011</v>
      </c>
      <c r="S125" s="7">
        <f>S124*0.979448679341718</f>
        <v>8807.8430840770179</v>
      </c>
      <c r="T125" s="7">
        <f>T124*1.00150113712834</f>
        <v>1447.5927781314563</v>
      </c>
      <c r="U125" s="7">
        <f>U124*0.975688332117336</f>
        <v>522.08985082765446</v>
      </c>
      <c r="V125" s="7">
        <f>V124*0.993428709324663</f>
        <v>19054.087816864412</v>
      </c>
      <c r="W125" s="7">
        <f>V125-S125-T125-U125</f>
        <v>8276.5621038282825</v>
      </c>
      <c r="Z125" s="7">
        <f>Z124*1.02271918108346</f>
        <v>3886.6540219400076</v>
      </c>
    </row>
    <row r="126" spans="2:26" ht="13.9" customHeight="1" x14ac:dyDescent="0.2">
      <c r="B126" s="9" t="s">
        <v>163</v>
      </c>
      <c r="G126" s="10">
        <v>5975.3</v>
      </c>
      <c r="H126" s="10"/>
      <c r="M126" s="10"/>
      <c r="P126" s="515" t="s">
        <v>177</v>
      </c>
      <c r="Q126" s="8">
        <f>ROW()</f>
        <v>126</v>
      </c>
      <c r="R126" s="3" t="s">
        <v>619</v>
      </c>
    </row>
    <row r="127" spans="2:26" ht="13.9" customHeight="1" x14ac:dyDescent="0.2">
      <c r="B127" s="31" t="s">
        <v>92</v>
      </c>
      <c r="P127" s="516"/>
      <c r="Q127" s="8">
        <f>ROW()</f>
        <v>127</v>
      </c>
    </row>
    <row r="128" spans="2:26" ht="13.9" customHeight="1" x14ac:dyDescent="0.2">
      <c r="P128" s="516"/>
      <c r="Q128" s="8">
        <f>ROW()</f>
        <v>128</v>
      </c>
    </row>
    <row r="129" spans="2:17" ht="13.9" customHeight="1" x14ac:dyDescent="0.2">
      <c r="B129" s="9" t="s">
        <v>56</v>
      </c>
      <c r="J129" s="35">
        <f>J124/I124</f>
        <v>0.95404608762295384</v>
      </c>
      <c r="P129" s="516"/>
      <c r="Q129" s="8">
        <f>ROW()</f>
        <v>129</v>
      </c>
    </row>
    <row r="130" spans="2:17" ht="13.9" customHeight="1" x14ac:dyDescent="0.2">
      <c r="B130" s="9" t="s">
        <v>95</v>
      </c>
      <c r="J130" s="35">
        <f>K37/G126</f>
        <v>0.8923568691111744</v>
      </c>
      <c r="P130" s="516"/>
      <c r="Q130" s="8">
        <f>ROW()</f>
        <v>130</v>
      </c>
    </row>
    <row r="131" spans="2:17" ht="13.9" customHeight="1" x14ac:dyDescent="0.2">
      <c r="B131" s="9" t="s">
        <v>171</v>
      </c>
      <c r="J131" s="35">
        <f>N124/K37</f>
        <v>0.930121153016635</v>
      </c>
      <c r="P131" s="516"/>
      <c r="Q131" s="8">
        <f>ROW()</f>
        <v>131</v>
      </c>
    </row>
    <row r="132" spans="2:17" ht="13.9" customHeight="1" x14ac:dyDescent="0.2">
      <c r="B132" s="9" t="s">
        <v>96</v>
      </c>
      <c r="J132" s="35">
        <f>J131^(1/11)-1</f>
        <v>-6.5638567286691041E-3</v>
      </c>
      <c r="P132" s="154">
        <v>-0.06</v>
      </c>
      <c r="Q132" s="8">
        <f>ROW()</f>
        <v>132</v>
      </c>
    </row>
    <row r="133" spans="2:17" ht="13.9" customHeight="1" x14ac:dyDescent="0.2">
      <c r="B133" s="9" t="s">
        <v>172</v>
      </c>
      <c r="J133" s="35">
        <f>O124/K37</f>
        <v>0.9482192757075073</v>
      </c>
      <c r="Q133" s="8">
        <f>ROW()</f>
        <v>133</v>
      </c>
    </row>
    <row r="134" spans="2:17" ht="13.9" customHeight="1" x14ac:dyDescent="0.2">
      <c r="B134" s="9" t="s">
        <v>96</v>
      </c>
      <c r="J134" s="35">
        <f>J133^(1/11)-1</f>
        <v>-4.8219279061290088E-3</v>
      </c>
      <c r="Q134" s="8">
        <f>ROW()</f>
        <v>134</v>
      </c>
    </row>
    <row r="135" spans="2:17" ht="13.9" customHeight="1" x14ac:dyDescent="0.2">
      <c r="J135" s="16"/>
      <c r="Q135" s="8">
        <f>ROW()</f>
        <v>135</v>
      </c>
    </row>
    <row r="136" spans="2:17" ht="13.9" customHeight="1" x14ac:dyDescent="0.2">
      <c r="B136" s="31" t="s">
        <v>43</v>
      </c>
      <c r="Q136" s="8">
        <f>ROW()</f>
        <v>136</v>
      </c>
    </row>
    <row r="137" spans="2:17" ht="13.9" customHeight="1" x14ac:dyDescent="0.2">
      <c r="Q137" s="8">
        <f>ROW()</f>
        <v>137</v>
      </c>
    </row>
    <row r="138" spans="2:17" ht="13.9" customHeight="1" x14ac:dyDescent="0.2">
      <c r="B138" s="31" t="s">
        <v>47</v>
      </c>
      <c r="I138" s="5">
        <v>-0.03</v>
      </c>
      <c r="J138" s="31" t="s">
        <v>48</v>
      </c>
      <c r="Q138" s="8">
        <f>ROW()</f>
        <v>138</v>
      </c>
    </row>
    <row r="139" spans="2:17" ht="13.9" customHeight="1" x14ac:dyDescent="0.2">
      <c r="B139" s="31" t="s">
        <v>49</v>
      </c>
      <c r="I139" s="5">
        <v>-0.03</v>
      </c>
      <c r="J139" s="31" t="s">
        <v>50</v>
      </c>
      <c r="Q139" s="8">
        <f>ROW()</f>
        <v>139</v>
      </c>
    </row>
    <row r="140" spans="2:17" ht="13.9" customHeight="1" x14ac:dyDescent="0.2">
      <c r="B140" s="31"/>
      <c r="Q140" s="8">
        <f>ROW()</f>
        <v>140</v>
      </c>
    </row>
    <row r="141" spans="2:17" ht="13.9" customHeight="1" x14ac:dyDescent="0.2">
      <c r="B141" s="31"/>
      <c r="Q141" s="8">
        <f>ROW()</f>
        <v>141</v>
      </c>
    </row>
    <row r="142" spans="2:17" ht="13.9" customHeight="1" x14ac:dyDescent="0.2">
      <c r="B142" s="9" t="s">
        <v>18</v>
      </c>
      <c r="Q142" s="8">
        <f>ROW()</f>
        <v>142</v>
      </c>
    </row>
    <row r="143" spans="2:17" ht="13.9" customHeight="1" x14ac:dyDescent="0.2">
      <c r="Q143" s="8">
        <f>ROW()</f>
        <v>143</v>
      </c>
    </row>
    <row r="144" spans="2:17" ht="13.9" customHeight="1" x14ac:dyDescent="0.2">
      <c r="B144" s="3" t="s">
        <v>19</v>
      </c>
      <c r="I144">
        <v>6.1890000000000001</v>
      </c>
      <c r="J144" s="9"/>
      <c r="Q144" s="8">
        <f>ROW()</f>
        <v>144</v>
      </c>
    </row>
    <row r="145" spans="2:17" ht="13.9" customHeight="1" x14ac:dyDescent="0.2">
      <c r="B145" s="3" t="s">
        <v>20</v>
      </c>
      <c r="I145" s="32"/>
      <c r="Q145" s="8">
        <f>ROW()</f>
        <v>145</v>
      </c>
    </row>
    <row r="146" spans="2:17" ht="13.9" customHeight="1" x14ac:dyDescent="0.2">
      <c r="Q146" s="8">
        <f>ROW()</f>
        <v>146</v>
      </c>
    </row>
    <row r="147" spans="2:17" ht="13.9" customHeight="1" x14ac:dyDescent="0.2">
      <c r="B147" s="3" t="s">
        <v>21</v>
      </c>
      <c r="I147">
        <v>5.3540000000000001</v>
      </c>
      <c r="Q147" s="8">
        <f>ROW()</f>
        <v>147</v>
      </c>
    </row>
    <row r="148" spans="2:17" ht="13.9" customHeight="1" x14ac:dyDescent="0.2">
      <c r="B148" s="3" t="s">
        <v>22</v>
      </c>
      <c r="Q148" s="8">
        <f>ROW()</f>
        <v>148</v>
      </c>
    </row>
    <row r="149" spans="2:17" ht="13.9" customHeight="1" x14ac:dyDescent="0.2">
      <c r="Q149" s="8">
        <f>ROW()</f>
        <v>149</v>
      </c>
    </row>
    <row r="150" spans="2:17" ht="13.9" customHeight="1" x14ac:dyDescent="0.2">
      <c r="Q150" s="8">
        <f>ROW()</f>
        <v>150</v>
      </c>
    </row>
    <row r="151" spans="2:17" ht="13.9" customHeight="1" x14ac:dyDescent="0.2">
      <c r="Q151" s="8">
        <f>ROW()</f>
        <v>151</v>
      </c>
    </row>
    <row r="152" spans="2:17" ht="13.9" customHeight="1" x14ac:dyDescent="0.2">
      <c r="B152" t="s">
        <v>158</v>
      </c>
      <c r="Q152" s="8">
        <f>ROW()</f>
        <v>152</v>
      </c>
    </row>
    <row r="153" spans="2:17" ht="13.9" customHeight="1" x14ac:dyDescent="0.2">
      <c r="B153" t="s">
        <v>159</v>
      </c>
      <c r="Q153" s="8">
        <f>ROW()</f>
        <v>153</v>
      </c>
    </row>
    <row r="154" spans="2:17" ht="13.9" customHeight="1" x14ac:dyDescent="0.2">
      <c r="B154" s="9" t="s">
        <v>160</v>
      </c>
      <c r="Q154" s="8">
        <f>ROW()</f>
        <v>154</v>
      </c>
    </row>
    <row r="155" spans="2:17" ht="13.9" customHeight="1" x14ac:dyDescent="0.2">
      <c r="B155" s="456" t="s">
        <v>161</v>
      </c>
      <c r="C155" s="456"/>
      <c r="D155" s="456"/>
      <c r="E155" s="456"/>
      <c r="F155" s="456"/>
      <c r="G155" s="456"/>
      <c r="H155" s="456"/>
      <c r="I155" s="456"/>
      <c r="J155" s="456"/>
      <c r="K155" s="456"/>
      <c r="L155" s="69"/>
      <c r="Q155" s="8">
        <f>ROW()</f>
        <v>155</v>
      </c>
    </row>
    <row r="156" spans="2:17" ht="13.9" customHeight="1" x14ac:dyDescent="0.2">
      <c r="B156" s="456"/>
      <c r="C156" s="456"/>
      <c r="D156" s="456"/>
      <c r="E156" s="456"/>
      <c r="F156" s="456"/>
      <c r="G156" s="456"/>
      <c r="H156" s="456"/>
      <c r="I156" s="456"/>
      <c r="J156" s="456"/>
      <c r="K156" s="456"/>
      <c r="L156" s="69"/>
      <c r="Q156" s="8">
        <f>ROW()</f>
        <v>156</v>
      </c>
    </row>
    <row r="157" spans="2:17" ht="13.9" customHeight="1" x14ac:dyDescent="0.2">
      <c r="B157" s="456"/>
      <c r="C157" s="456"/>
      <c r="D157" s="456"/>
      <c r="E157" s="456"/>
      <c r="F157" s="456"/>
      <c r="G157" s="456"/>
      <c r="H157" s="456"/>
      <c r="I157" s="456"/>
      <c r="J157" s="456"/>
      <c r="K157" s="456"/>
      <c r="L157" s="69"/>
      <c r="Q157" s="8">
        <f>ROW()</f>
        <v>157</v>
      </c>
    </row>
    <row r="158" spans="2:17" ht="13.9" customHeight="1" x14ac:dyDescent="0.2">
      <c r="B158" t="s">
        <v>165</v>
      </c>
      <c r="Q158" s="8">
        <f>ROW()</f>
        <v>158</v>
      </c>
    </row>
    <row r="159" spans="2:17" ht="13.9" customHeight="1" x14ac:dyDescent="0.2">
      <c r="B159" t="s">
        <v>166</v>
      </c>
      <c r="Q159" s="8">
        <f>ROW()</f>
        <v>159</v>
      </c>
    </row>
    <row r="160" spans="2:17" ht="13.9" customHeight="1" x14ac:dyDescent="0.2">
      <c r="B160" s="9" t="s">
        <v>304</v>
      </c>
      <c r="Q160" s="8">
        <f>ROW()</f>
        <v>160</v>
      </c>
    </row>
    <row r="161" spans="2:17" ht="13.9" customHeight="1" x14ac:dyDescent="0.2">
      <c r="B161" s="58" t="s">
        <v>310</v>
      </c>
      <c r="Q161" s="8">
        <f>ROW()</f>
        <v>161</v>
      </c>
    </row>
    <row r="162" spans="2:17" ht="13.9" customHeight="1" x14ac:dyDescent="0.2">
      <c r="B162" s="390" t="s">
        <v>167</v>
      </c>
      <c r="C162" s="449"/>
      <c r="D162" s="449"/>
      <c r="E162" s="449"/>
      <c r="F162" s="449"/>
      <c r="G162" s="449"/>
      <c r="H162" s="449"/>
      <c r="I162" s="449"/>
      <c r="J162" s="449"/>
      <c r="Q162" s="8">
        <f>ROW()</f>
        <v>162</v>
      </c>
    </row>
    <row r="163" spans="2:17" ht="13.9" customHeight="1" x14ac:dyDescent="0.2">
      <c r="B163" s="449"/>
      <c r="C163" s="449"/>
      <c r="D163" s="449"/>
      <c r="E163" s="449"/>
      <c r="F163" s="449"/>
      <c r="G163" s="449"/>
      <c r="H163" s="449"/>
      <c r="I163" s="449"/>
      <c r="J163" s="449"/>
      <c r="Q163" s="8">
        <f>ROW()</f>
        <v>163</v>
      </c>
    </row>
    <row r="164" spans="2:17" ht="13.9" customHeight="1" x14ac:dyDescent="0.2">
      <c r="B164" s="449"/>
      <c r="C164" s="449"/>
      <c r="D164" s="449"/>
      <c r="E164" s="449"/>
      <c r="F164" s="449"/>
      <c r="G164" s="449"/>
      <c r="H164" s="449"/>
      <c r="I164" s="449"/>
      <c r="J164" s="449"/>
      <c r="Q164" s="8">
        <f>ROW()</f>
        <v>164</v>
      </c>
    </row>
    <row r="165" spans="2:17" ht="13.9" customHeight="1" x14ac:dyDescent="0.2">
      <c r="B165" s="449"/>
      <c r="C165" s="449"/>
      <c r="D165" s="449"/>
      <c r="E165" s="449"/>
      <c r="F165" s="449"/>
      <c r="G165" s="449"/>
      <c r="H165" s="449"/>
      <c r="I165" s="449"/>
      <c r="J165" s="449"/>
      <c r="Q165" s="8">
        <f>ROW()</f>
        <v>165</v>
      </c>
    </row>
    <row r="166" spans="2:17" ht="13.9" customHeight="1" x14ac:dyDescent="0.2">
      <c r="B166" s="449"/>
      <c r="C166" s="449"/>
      <c r="D166" s="449"/>
      <c r="E166" s="449"/>
      <c r="F166" s="449"/>
      <c r="G166" s="449"/>
      <c r="H166" s="449"/>
      <c r="I166" s="449"/>
      <c r="J166" s="449"/>
      <c r="Q166" s="8">
        <f>ROW()</f>
        <v>166</v>
      </c>
    </row>
    <row r="167" spans="2:17" ht="13.9" customHeight="1" x14ac:dyDescent="0.2">
      <c r="Q167" s="8">
        <f>ROW()</f>
        <v>167</v>
      </c>
    </row>
    <row r="168" spans="2:17" ht="13.9" customHeight="1" x14ac:dyDescent="0.2">
      <c r="Q168" s="8">
        <f>ROW()</f>
        <v>168</v>
      </c>
    </row>
    <row r="169" spans="2:17" ht="13.9" customHeight="1" x14ac:dyDescent="0.2">
      <c r="B169" s="9" t="s">
        <v>235</v>
      </c>
      <c r="Q169" s="8">
        <f>ROW()</f>
        <v>169</v>
      </c>
    </row>
    <row r="170" spans="2:17" ht="13.9" customHeight="1" x14ac:dyDescent="0.2">
      <c r="B170" t="s">
        <v>234</v>
      </c>
      <c r="Q170" s="8">
        <f>ROW()</f>
        <v>170</v>
      </c>
    </row>
    <row r="171" spans="2:17" ht="13.9" customHeight="1" x14ac:dyDescent="0.2">
      <c r="Q171" s="8">
        <f>ROW()</f>
        <v>171</v>
      </c>
    </row>
    <row r="172" spans="2:17" ht="13.9" customHeight="1" x14ac:dyDescent="0.2">
      <c r="B172" s="42" t="s">
        <v>240</v>
      </c>
      <c r="Q172" s="8">
        <f>ROW()</f>
        <v>172</v>
      </c>
    </row>
    <row r="173" spans="2:17" ht="13.9" customHeight="1" x14ac:dyDescent="0.2">
      <c r="B173" s="42" t="s">
        <v>236</v>
      </c>
      <c r="Q173" s="8">
        <f>ROW()</f>
        <v>173</v>
      </c>
    </row>
    <row r="174" spans="2:17" ht="13.9" customHeight="1" x14ac:dyDescent="0.2">
      <c r="B174" t="s">
        <v>237</v>
      </c>
      <c r="Q174" s="8">
        <f>ROW()</f>
        <v>174</v>
      </c>
    </row>
    <row r="175" spans="2:17" ht="13.9" customHeight="1" x14ac:dyDescent="0.2">
      <c r="B175" t="s">
        <v>238</v>
      </c>
      <c r="Q175" s="8">
        <f>ROW()</f>
        <v>175</v>
      </c>
    </row>
    <row r="176" spans="2:17" ht="13.9" customHeight="1" x14ac:dyDescent="0.2">
      <c r="B176" t="s">
        <v>305</v>
      </c>
      <c r="Q176" s="8">
        <f>ROW()</f>
        <v>176</v>
      </c>
    </row>
    <row r="177" spans="2:17" ht="13.9" customHeight="1" x14ac:dyDescent="0.2">
      <c r="B177" t="s">
        <v>306</v>
      </c>
      <c r="Q177" s="8">
        <f>ROW()</f>
        <v>177</v>
      </c>
    </row>
    <row r="178" spans="2:17" ht="13.9" customHeight="1" x14ac:dyDescent="0.2">
      <c r="B178" t="s">
        <v>239</v>
      </c>
      <c r="Q178" s="8">
        <f>ROW()</f>
        <v>178</v>
      </c>
    </row>
    <row r="179" spans="2:17" ht="13.9" customHeight="1" x14ac:dyDescent="0.2">
      <c r="B179" s="42" t="s">
        <v>241</v>
      </c>
      <c r="Q179" s="8">
        <f>ROW()</f>
        <v>179</v>
      </c>
    </row>
    <row r="180" spans="2:17" ht="13.9" customHeight="1" x14ac:dyDescent="0.2">
      <c r="Q180" s="8">
        <f>ROW()</f>
        <v>180</v>
      </c>
    </row>
    <row r="181" spans="2:17" ht="13.9" customHeight="1" x14ac:dyDescent="0.2">
      <c r="Q181" s="8">
        <f>ROW()</f>
        <v>181</v>
      </c>
    </row>
    <row r="182" spans="2:17" ht="13.9" customHeight="1" x14ac:dyDescent="0.2">
      <c r="B182" s="42" t="s">
        <v>402</v>
      </c>
      <c r="F182" s="42"/>
      <c r="J182">
        <v>2421</v>
      </c>
      <c r="Q182" s="8">
        <f>ROW()</f>
        <v>182</v>
      </c>
    </row>
    <row r="183" spans="2:17" ht="13.9" customHeight="1" x14ac:dyDescent="0.2">
      <c r="B183" s="42" t="s">
        <v>403</v>
      </c>
      <c r="F183" s="42"/>
      <c r="J183">
        <v>2778</v>
      </c>
      <c r="Q183" s="8">
        <f>ROW()</f>
        <v>183</v>
      </c>
    </row>
    <row r="184" spans="2:17" ht="13.9" customHeight="1" x14ac:dyDescent="0.2">
      <c r="B184" s="396" t="s">
        <v>356</v>
      </c>
      <c r="C184" s="392"/>
      <c r="D184" s="392"/>
      <c r="E184" s="392"/>
      <c r="F184" s="392"/>
      <c r="G184" s="392"/>
      <c r="H184" s="392"/>
      <c r="I184" s="392"/>
      <c r="J184" s="392"/>
      <c r="K184" s="392"/>
      <c r="Q184" s="8">
        <f>ROW()</f>
        <v>184</v>
      </c>
    </row>
    <row r="185" spans="2:17" ht="13.9" customHeight="1" x14ac:dyDescent="0.2">
      <c r="B185" s="392"/>
      <c r="C185" s="392"/>
      <c r="D185" s="392"/>
      <c r="E185" s="392"/>
      <c r="F185" s="392"/>
      <c r="G185" s="392"/>
      <c r="H185" s="392"/>
      <c r="I185" s="392"/>
      <c r="J185" s="392"/>
      <c r="K185" s="392"/>
      <c r="Q185" s="8">
        <f>ROW()</f>
        <v>185</v>
      </c>
    </row>
    <row r="186" spans="2:17" ht="13.9" customHeight="1" x14ac:dyDescent="0.2">
      <c r="B186" s="42" t="s">
        <v>391</v>
      </c>
      <c r="J186">
        <v>9.57</v>
      </c>
      <c r="Q186" s="8">
        <f>ROW()</f>
        <v>186</v>
      </c>
    </row>
    <row r="187" spans="2:17" ht="13.9" customHeight="1" x14ac:dyDescent="0.2">
      <c r="B187" s="396" t="s">
        <v>392</v>
      </c>
      <c r="C187" s="396"/>
      <c r="D187" s="396"/>
      <c r="E187" s="396"/>
      <c r="F187" s="396"/>
      <c r="G187" s="396"/>
      <c r="H187" s="396"/>
      <c r="I187" s="396"/>
      <c r="J187" s="396"/>
      <c r="K187" s="396"/>
      <c r="Q187" s="8">
        <f>ROW()</f>
        <v>187</v>
      </c>
    </row>
    <row r="188" spans="2:17" ht="13.9" customHeight="1" x14ac:dyDescent="0.2">
      <c r="B188" s="396"/>
      <c r="C188" s="396"/>
      <c r="D188" s="396"/>
      <c r="E188" s="396"/>
      <c r="F188" s="396"/>
      <c r="G188" s="396"/>
      <c r="H188" s="396"/>
      <c r="I188" s="396"/>
      <c r="J188" s="396"/>
      <c r="K188" s="396"/>
      <c r="Q188" s="8">
        <f>ROW()</f>
        <v>188</v>
      </c>
    </row>
    <row r="189" spans="2:17" ht="13.9" customHeight="1" x14ac:dyDescent="0.2">
      <c r="B189" s="42" t="s">
        <v>404</v>
      </c>
      <c r="J189">
        <f>J186*1000/Parameters!J14</f>
        <v>2610</v>
      </c>
      <c r="Q189" s="8">
        <f>ROW()</f>
        <v>189</v>
      </c>
    </row>
    <row r="190" spans="2:17" ht="13.9" customHeight="1" x14ac:dyDescent="0.2">
      <c r="B190" s="42" t="s">
        <v>393</v>
      </c>
      <c r="J190">
        <v>53.06</v>
      </c>
      <c r="Q190" s="8">
        <f>ROW()</f>
        <v>190</v>
      </c>
    </row>
    <row r="191" spans="2:17" ht="13.9" customHeight="1" x14ac:dyDescent="0.2">
      <c r="B191" s="396" t="s">
        <v>392</v>
      </c>
      <c r="C191" s="396"/>
      <c r="D191" s="396"/>
      <c r="E191" s="396"/>
      <c r="F191" s="396"/>
      <c r="G191" s="396"/>
      <c r="H191" s="396"/>
      <c r="I191" s="396"/>
      <c r="J191" s="396"/>
      <c r="K191" s="396"/>
      <c r="Q191" s="8">
        <f>ROW()</f>
        <v>191</v>
      </c>
    </row>
    <row r="192" spans="2:17" ht="13.9" customHeight="1" x14ac:dyDescent="0.2">
      <c r="B192" s="396"/>
      <c r="C192" s="396"/>
      <c r="D192" s="396"/>
      <c r="E192" s="396"/>
      <c r="F192" s="396"/>
      <c r="G192" s="396"/>
      <c r="H192" s="396"/>
      <c r="I192" s="396"/>
      <c r="J192" s="396"/>
      <c r="K192" s="396"/>
      <c r="Q192" s="8">
        <f>ROW()</f>
        <v>192</v>
      </c>
    </row>
    <row r="193" spans="2:17" ht="13.9" customHeight="1" x14ac:dyDescent="0.2">
      <c r="B193" s="42"/>
      <c r="Q193" s="8">
        <f>ROW()</f>
        <v>193</v>
      </c>
    </row>
    <row r="194" spans="2:17" ht="13.9" customHeight="1" x14ac:dyDescent="0.2">
      <c r="Q194" s="8">
        <f>ROW()</f>
        <v>194</v>
      </c>
    </row>
    <row r="195" spans="2:17" ht="13.9" customHeight="1" x14ac:dyDescent="0.2">
      <c r="B195" s="9" t="s">
        <v>394</v>
      </c>
      <c r="Q195" s="8">
        <f>ROW()</f>
        <v>195</v>
      </c>
    </row>
    <row r="196" spans="2:17" ht="13.9" customHeight="1" x14ac:dyDescent="0.2">
      <c r="L196" s="96">
        <v>2009</v>
      </c>
      <c r="Q196" s="8">
        <f>ROW()</f>
        <v>196</v>
      </c>
    </row>
    <row r="197" spans="2:17" ht="13.9" customHeight="1" x14ac:dyDescent="0.2">
      <c r="B197" s="42" t="s">
        <v>395</v>
      </c>
      <c r="F197" s="110" t="s">
        <v>396</v>
      </c>
      <c r="L197" s="4">
        <v>78.415496000000005</v>
      </c>
      <c r="Q197" s="8">
        <f>ROW()</f>
        <v>197</v>
      </c>
    </row>
    <row r="198" spans="2:17" ht="13.9" customHeight="1" x14ac:dyDescent="0.2">
      <c r="B198" s="42" t="s">
        <v>397</v>
      </c>
      <c r="F198" s="110" t="s">
        <v>396</v>
      </c>
      <c r="L198" s="4">
        <v>23.343844000000001</v>
      </c>
      <c r="Q198" s="8">
        <f>ROW()</f>
        <v>198</v>
      </c>
    </row>
    <row r="199" spans="2:17" ht="13.9" customHeight="1" x14ac:dyDescent="0.2">
      <c r="B199" s="42" t="s">
        <v>398</v>
      </c>
      <c r="F199" s="110" t="s">
        <v>396</v>
      </c>
      <c r="L199" s="4">
        <v>19.692202999999999</v>
      </c>
      <c r="Q199" s="8">
        <f>ROW()</f>
        <v>199</v>
      </c>
    </row>
    <row r="200" spans="2:17" ht="13.9" customHeight="1" x14ac:dyDescent="0.2">
      <c r="B200" s="42" t="s">
        <v>399</v>
      </c>
      <c r="F200" s="110" t="s">
        <v>396</v>
      </c>
      <c r="L200" s="4">
        <v>35.403260000000003</v>
      </c>
      <c r="Q200" s="8">
        <f>ROW()</f>
        <v>200</v>
      </c>
    </row>
    <row r="201" spans="2:17" ht="13.9" customHeight="1" x14ac:dyDescent="0.2">
      <c r="J201" s="263" t="s">
        <v>411</v>
      </c>
      <c r="Q201" s="8">
        <f>ROW()</f>
        <v>201</v>
      </c>
    </row>
    <row r="202" spans="2:17" ht="13.9" customHeight="1" x14ac:dyDescent="0.2">
      <c r="B202" s="42" t="s">
        <v>400</v>
      </c>
      <c r="G202" s="110" t="s">
        <v>415</v>
      </c>
      <c r="J202" s="24">
        <v>11000</v>
      </c>
      <c r="K202" s="264" t="s">
        <v>412</v>
      </c>
      <c r="L202" s="24">
        <v>934683.20900000003</v>
      </c>
      <c r="M202" s="24">
        <v>979555.26800000004</v>
      </c>
      <c r="Q202" s="8">
        <f>ROW()</f>
        <v>202</v>
      </c>
    </row>
    <row r="203" spans="2:17" ht="13.9" customHeight="1" x14ac:dyDescent="0.2">
      <c r="B203" s="42" t="s">
        <v>410</v>
      </c>
      <c r="G203" s="110" t="s">
        <v>415</v>
      </c>
      <c r="J203" s="24">
        <v>6000000</v>
      </c>
      <c r="K203" s="264" t="s">
        <v>413</v>
      </c>
      <c r="L203" s="24">
        <v>67668.275999999998</v>
      </c>
      <c r="M203" s="24">
        <v>64821.311999999998</v>
      </c>
      <c r="Q203" s="8">
        <f>ROW()</f>
        <v>203</v>
      </c>
    </row>
    <row r="204" spans="2:17" ht="13.9" customHeight="1" x14ac:dyDescent="0.2">
      <c r="B204" s="42" t="s">
        <v>409</v>
      </c>
      <c r="G204" s="110" t="s">
        <v>415</v>
      </c>
      <c r="J204" s="24">
        <v>1029</v>
      </c>
      <c r="K204" s="264" t="s">
        <v>414</v>
      </c>
      <c r="L204" s="24">
        <v>7121.0690000000004</v>
      </c>
      <c r="M204" s="24">
        <v>7633.4690000000001</v>
      </c>
      <c r="Q204" s="8">
        <f>ROW()</f>
        <v>204</v>
      </c>
    </row>
    <row r="205" spans="2:17" ht="13.9" customHeight="1" x14ac:dyDescent="0.2">
      <c r="Q205" s="8">
        <f>ROW()</f>
        <v>205</v>
      </c>
    </row>
    <row r="206" spans="2:17" ht="13.9" customHeight="1" x14ac:dyDescent="0.2">
      <c r="L206" s="23">
        <f>L202*1000*$J202*2000/1000000000000000</f>
        <v>20.563030598000001</v>
      </c>
      <c r="M206" s="23">
        <f>M202*1000*$J202*2000/1000000000000000</f>
        <v>21.550215896000001</v>
      </c>
      <c r="Q206" s="8">
        <f>ROW()</f>
        <v>206</v>
      </c>
    </row>
    <row r="207" spans="2:17" ht="13.9" customHeight="1" x14ac:dyDescent="0.2">
      <c r="L207" s="23">
        <f>L203*1000*$J203/1000000000000000</f>
        <v>0.406009656</v>
      </c>
      <c r="M207" s="23">
        <f>M203*1000*$J203/1000000000000000</f>
        <v>0.38892787200000001</v>
      </c>
      <c r="Q207" s="8">
        <f>ROW()</f>
        <v>207</v>
      </c>
    </row>
    <row r="208" spans="2:17" ht="13.9" customHeight="1" x14ac:dyDescent="0.2">
      <c r="L208" s="23">
        <f>L204*1000000000*$J204/1000000000000000</f>
        <v>7.3275800010000003</v>
      </c>
      <c r="M208" s="23">
        <f>M204*1000000000*$J204/1000000000000000</f>
        <v>7.8548396010000001</v>
      </c>
      <c r="Q208" s="8">
        <f>ROW()</f>
        <v>208</v>
      </c>
    </row>
    <row r="213" spans="2:13" ht="13.9" customHeight="1" x14ac:dyDescent="0.2">
      <c r="B213" s="9" t="s">
        <v>401</v>
      </c>
      <c r="L213" s="32">
        <f>SUM(L206:L208)</f>
        <v>28.296620255000001</v>
      </c>
      <c r="M213" s="32">
        <f>SUM(M206:M208)</f>
        <v>29.793983369000003</v>
      </c>
    </row>
    <row r="214" spans="2:13" ht="13.9" customHeight="1" x14ac:dyDescent="0.2">
      <c r="B214" s="9" t="s">
        <v>405</v>
      </c>
      <c r="L214" s="32">
        <f>((K102*1000000*1000000)/(J182*Parameters!$J$14)*'Personal Ground Travel'!K22/1000000000000000)</f>
        <v>17.228903338000286</v>
      </c>
    </row>
    <row r="215" spans="2:13" ht="13.9" customHeight="1" x14ac:dyDescent="0.2">
      <c r="B215" s="9" t="s">
        <v>406</v>
      </c>
      <c r="L215" s="32">
        <f>((K109*1000000*1000000)/(J183*Parameters!$J$14)*Freight!K22/1000000000000000)</f>
        <v>6.201994100212243</v>
      </c>
    </row>
    <row r="216" spans="2:13" ht="13.9" customHeight="1" x14ac:dyDescent="0.2">
      <c r="B216" s="9" t="s">
        <v>407</v>
      </c>
      <c r="L216" s="32">
        <f>((K106*1000000*1000000)/(J189*Parameters!$J$14)*Aviation!K22/1000000000000000)</f>
        <v>2.7634796238244514</v>
      </c>
    </row>
    <row r="217" spans="2:13" ht="13.9" customHeight="1" x14ac:dyDescent="0.2">
      <c r="B217" s="9" t="s">
        <v>408</v>
      </c>
      <c r="L217" s="32">
        <f>L197-SUM(L213:L216)</f>
        <v>23.924498682963019</v>
      </c>
    </row>
  </sheetData>
  <mergeCells count="26">
    <mergeCell ref="I2:L3"/>
    <mergeCell ref="G8:I8"/>
    <mergeCell ref="J8:M8"/>
    <mergeCell ref="L38:L42"/>
    <mergeCell ref="U117:U118"/>
    <mergeCell ref="V117:V118"/>
    <mergeCell ref="W116:W118"/>
    <mergeCell ref="T116:T118"/>
    <mergeCell ref="B184:K185"/>
    <mergeCell ref="P126:P131"/>
    <mergeCell ref="B187:K188"/>
    <mergeCell ref="B191:K192"/>
    <mergeCell ref="W9:W10"/>
    <mergeCell ref="P16:P23"/>
    <mergeCell ref="B162:J166"/>
    <mergeCell ref="N118:N123"/>
    <mergeCell ref="O118:O123"/>
    <mergeCell ref="B155:K157"/>
    <mergeCell ref="R43:AA44"/>
    <mergeCell ref="Z117:Z118"/>
    <mergeCell ref="S117:S118"/>
    <mergeCell ref="P118:P123"/>
    <mergeCell ref="B29:M30"/>
    <mergeCell ref="R32:AA33"/>
    <mergeCell ref="R34:AA34"/>
    <mergeCell ref="M99:P104"/>
  </mergeCells>
  <phoneticPr fontId="3" type="noConversion"/>
  <hyperlinks>
    <hyperlink ref="B145" r:id="rId1"/>
  </hyperlinks>
  <printOptions gridLines="1"/>
  <pageMargins left="1.25" right="1" top="1.25" bottom="1" header="0.5" footer="0.5"/>
  <pageSetup orientation="portrait" r:id="rId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52"/>
  <sheetViews>
    <sheetView topLeftCell="A25" workbookViewId="0"/>
  </sheetViews>
  <sheetFormatPr defaultRowHeight="13.9" customHeight="1" x14ac:dyDescent="0.2"/>
  <cols>
    <col min="1" max="1" width="2.7109375" customWidth="1"/>
    <col min="6" max="6" width="9.85546875" bestFit="1" customWidth="1"/>
    <col min="14" max="14" width="1.5703125" customWidth="1"/>
    <col min="15" max="16" width="9.5703125" customWidth="1"/>
  </cols>
  <sheetData>
    <row r="2" spans="1:24" ht="13.9" customHeight="1" x14ac:dyDescent="0.25">
      <c r="B2" s="70" t="s">
        <v>97</v>
      </c>
      <c r="F2" s="526" t="s">
        <v>680</v>
      </c>
      <c r="G2" s="527"/>
      <c r="H2" s="527"/>
      <c r="I2" s="527"/>
      <c r="J2" s="527"/>
      <c r="K2" s="528"/>
      <c r="L2" s="350">
        <f>Summary!J1</f>
        <v>40823</v>
      </c>
    </row>
    <row r="3" spans="1:24" ht="13.9" customHeight="1" x14ac:dyDescent="0.2">
      <c r="F3" s="529"/>
      <c r="G3" s="530"/>
      <c r="H3" s="530"/>
      <c r="I3" s="530"/>
      <c r="J3" s="530"/>
      <c r="K3" s="531"/>
    </row>
    <row r="4" spans="1:24" ht="13.9" customHeight="1" x14ac:dyDescent="0.2">
      <c r="O4" t="s">
        <v>132</v>
      </c>
    </row>
    <row r="5" spans="1:24" ht="13.9" customHeight="1" x14ac:dyDescent="0.2">
      <c r="B5" s="42" t="s">
        <v>114</v>
      </c>
      <c r="O5" t="s">
        <v>131</v>
      </c>
    </row>
    <row r="6" spans="1:24" ht="13.9" customHeight="1" x14ac:dyDescent="0.2">
      <c r="B6" t="s">
        <v>308</v>
      </c>
      <c r="O6" s="514" t="s">
        <v>133</v>
      </c>
      <c r="P6" s="449"/>
      <c r="Q6" s="449"/>
      <c r="R6" s="449"/>
      <c r="S6" s="449"/>
      <c r="T6" s="449"/>
      <c r="U6" s="449"/>
      <c r="V6" s="449"/>
      <c r="W6" s="449"/>
      <c r="X6" s="449"/>
    </row>
    <row r="7" spans="1:24" ht="13.9" customHeight="1" x14ac:dyDescent="0.2">
      <c r="B7" s="9" t="s">
        <v>121</v>
      </c>
      <c r="O7" s="449"/>
      <c r="P7" s="449"/>
      <c r="Q7" s="449"/>
      <c r="R7" s="449"/>
      <c r="S7" s="449"/>
      <c r="T7" s="449"/>
      <c r="U7" s="449"/>
      <c r="V7" s="449"/>
      <c r="W7" s="449"/>
      <c r="X7" s="449"/>
    </row>
    <row r="8" spans="1:24" ht="13.9" customHeight="1" x14ac:dyDescent="0.2">
      <c r="B8" s="116" t="s">
        <v>115</v>
      </c>
      <c r="O8" s="449"/>
      <c r="P8" s="449"/>
      <c r="Q8" s="449"/>
      <c r="R8" s="449"/>
      <c r="S8" s="449"/>
      <c r="T8" s="449"/>
      <c r="U8" s="449"/>
      <c r="V8" s="449"/>
      <c r="W8" s="449"/>
      <c r="X8" s="449"/>
    </row>
    <row r="9" spans="1:24" ht="13.9" customHeight="1" x14ac:dyDescent="0.2">
      <c r="B9" s="116"/>
    </row>
    <row r="10" spans="1:24" ht="13.9" customHeight="1" x14ac:dyDescent="0.2">
      <c r="B10" t="s">
        <v>155</v>
      </c>
    </row>
    <row r="11" spans="1:24" ht="13.9" customHeight="1" x14ac:dyDescent="0.2">
      <c r="O11" s="535" t="s">
        <v>134</v>
      </c>
      <c r="P11" s="535"/>
    </row>
    <row r="12" spans="1:24" ht="13.9" customHeight="1" x14ac:dyDescent="0.2">
      <c r="L12" s="408" t="s">
        <v>130</v>
      </c>
      <c r="M12" s="112"/>
      <c r="O12" s="535"/>
      <c r="P12" s="535"/>
      <c r="Q12" s="534" t="s">
        <v>169</v>
      </c>
      <c r="R12" s="534"/>
    </row>
    <row r="13" spans="1:24" ht="13.9" customHeight="1" x14ac:dyDescent="0.2">
      <c r="B13" s="9" t="s">
        <v>125</v>
      </c>
      <c r="F13" s="14">
        <v>2005</v>
      </c>
      <c r="J13" s="408" t="s">
        <v>129</v>
      </c>
      <c r="K13" s="408" t="s">
        <v>162</v>
      </c>
      <c r="L13" s="513"/>
      <c r="M13" s="114"/>
      <c r="O13" s="125" t="s">
        <v>135</v>
      </c>
      <c r="P13" s="13" t="s">
        <v>136</v>
      </c>
      <c r="Q13" s="534"/>
      <c r="R13" s="534"/>
      <c r="S13" s="123" t="s">
        <v>156</v>
      </c>
      <c r="T13" s="123" t="s">
        <v>157</v>
      </c>
    </row>
    <row r="14" spans="1:24" ht="13.9" customHeight="1" x14ac:dyDescent="0.2">
      <c r="G14" s="13" t="s">
        <v>126</v>
      </c>
      <c r="H14" s="13" t="s">
        <v>127</v>
      </c>
      <c r="I14" s="13" t="s">
        <v>128</v>
      </c>
      <c r="J14" s="513"/>
      <c r="K14" s="513"/>
      <c r="L14" s="513"/>
      <c r="M14" s="14">
        <v>2009</v>
      </c>
      <c r="O14" s="124">
        <v>0.17</v>
      </c>
      <c r="P14" s="14">
        <v>2020</v>
      </c>
      <c r="S14" s="14">
        <v>2050</v>
      </c>
    </row>
    <row r="15" spans="1:24" ht="13.9" customHeight="1" x14ac:dyDescent="0.2">
      <c r="A15">
        <v>1</v>
      </c>
      <c r="B15" t="s">
        <v>117</v>
      </c>
      <c r="F15" s="141">
        <v>6074.3</v>
      </c>
      <c r="G15" s="16">
        <f>F15/$F$30</f>
        <v>0.85194743264281414</v>
      </c>
      <c r="H15" s="16">
        <f>F15/$F$15</f>
        <v>1</v>
      </c>
      <c r="I15" s="16"/>
      <c r="J15" s="16"/>
      <c r="K15" s="16"/>
      <c r="M15" s="8">
        <f>Emissions!K37</f>
        <v>5332.1</v>
      </c>
      <c r="O15" s="117">
        <f t="shared" ref="O15:O30" si="0">$O$14*F15</f>
        <v>1032.6310000000001</v>
      </c>
      <c r="P15" s="117">
        <f t="shared" ref="P15:P30" si="1">F15-O15</f>
        <v>5041.6689999999999</v>
      </c>
      <c r="Q15" s="8">
        <f>O30-Q29</f>
        <v>853.17900000000009</v>
      </c>
      <c r="R15" s="8">
        <f>F15-Q15</f>
        <v>5221.1210000000001</v>
      </c>
      <c r="S15" s="8">
        <f>$M15*(1+S32)^($S14-$M14)</f>
        <v>4930.0509801327189</v>
      </c>
      <c r="T15" s="8">
        <f>$M15*(1+T32)^($S14-$M14)</f>
        <v>5332.1</v>
      </c>
    </row>
    <row r="16" spans="1:24" ht="13.9" customHeight="1" x14ac:dyDescent="0.2">
      <c r="A16">
        <v>2</v>
      </c>
      <c r="B16" s="11" t="s">
        <v>98</v>
      </c>
      <c r="F16" s="127">
        <v>5731</v>
      </c>
      <c r="G16" s="16"/>
      <c r="H16" s="16">
        <f>F16/$F$15</f>
        <v>0.94348319971025463</v>
      </c>
      <c r="I16" s="16">
        <f t="shared" ref="I16:I22" si="2">F16/$F$16</f>
        <v>1</v>
      </c>
      <c r="J16" s="16"/>
      <c r="K16" s="16"/>
      <c r="L16" s="126">
        <f>SUM(L17:L21)</f>
        <v>5730.8999999999987</v>
      </c>
      <c r="O16" s="117">
        <f t="shared" si="0"/>
        <v>974.2700000000001</v>
      </c>
      <c r="P16" s="117">
        <f t="shared" si="1"/>
        <v>4756.7299999999996</v>
      </c>
      <c r="S16" s="6">
        <f>S15/$M15</f>
        <v>0.92459837214844409</v>
      </c>
      <c r="T16" s="6">
        <f>T15/$M15</f>
        <v>1</v>
      </c>
    </row>
    <row r="17" spans="1:20" ht="13.9" customHeight="1" x14ac:dyDescent="0.2">
      <c r="A17">
        <v>3</v>
      </c>
      <c r="B17" s="115" t="s">
        <v>99</v>
      </c>
      <c r="F17">
        <v>2380.1999999999998</v>
      </c>
      <c r="G17" s="16"/>
      <c r="H17" s="16"/>
      <c r="I17" s="16">
        <f t="shared" si="2"/>
        <v>0.41532018844878726</v>
      </c>
      <c r="J17" s="16">
        <f>F17/$F$40</f>
        <v>0.41921904996741638</v>
      </c>
      <c r="K17" s="8">
        <f>$F$22*J17</f>
        <v>22.302453458266552</v>
      </c>
      <c r="L17" s="10">
        <f>F17+K17</f>
        <v>2402.5024534582662</v>
      </c>
      <c r="O17" s="8">
        <f t="shared" si="0"/>
        <v>404.63400000000001</v>
      </c>
      <c r="P17" s="8">
        <f t="shared" si="1"/>
        <v>1975.5659999999998</v>
      </c>
      <c r="S17" s="6">
        <f>S15/$F30</f>
        <v>0.69146144828577105</v>
      </c>
      <c r="T17" s="6">
        <f>T15/$F30</f>
        <v>0.74785060099019629</v>
      </c>
    </row>
    <row r="18" spans="1:20" ht="13.9" customHeight="1" x14ac:dyDescent="0.2">
      <c r="A18">
        <v>4</v>
      </c>
      <c r="B18" s="115" t="s">
        <v>100</v>
      </c>
      <c r="F18">
        <v>1869.8</v>
      </c>
      <c r="G18" s="16"/>
      <c r="H18" s="16"/>
      <c r="I18" s="16">
        <f t="shared" si="2"/>
        <v>0.32626068748909437</v>
      </c>
      <c r="J18" s="16">
        <f>F18/$F$40</f>
        <v>0.32932349366821073</v>
      </c>
      <c r="K18" s="8">
        <f>$F$22*J18</f>
        <v>17.520009863148811</v>
      </c>
      <c r="L18" s="10">
        <f>F18+K18</f>
        <v>1887.3200098631487</v>
      </c>
      <c r="O18" s="8">
        <f t="shared" si="0"/>
        <v>317.86600000000004</v>
      </c>
      <c r="P18" s="8">
        <f t="shared" si="1"/>
        <v>1551.934</v>
      </c>
    </row>
    <row r="19" spans="1:20" ht="13.9" customHeight="1" x14ac:dyDescent="0.2">
      <c r="A19">
        <v>5</v>
      </c>
      <c r="B19" s="115" t="s">
        <v>101</v>
      </c>
      <c r="F19">
        <v>847.3</v>
      </c>
      <c r="G19" s="16"/>
      <c r="H19" s="16"/>
      <c r="I19" s="16">
        <f t="shared" si="2"/>
        <v>0.14784505321933344</v>
      </c>
      <c r="J19" s="16">
        <f>F19/$F$40</f>
        <v>0.14923296405234512</v>
      </c>
      <c r="K19" s="8">
        <f>$F$22*J19</f>
        <v>7.9391936875847611</v>
      </c>
      <c r="L19" s="10">
        <f>F19+K19</f>
        <v>855.2391936875847</v>
      </c>
      <c r="O19" s="8">
        <f t="shared" si="0"/>
        <v>144.041</v>
      </c>
      <c r="P19" s="8">
        <f t="shared" si="1"/>
        <v>703.25900000000001</v>
      </c>
    </row>
    <row r="20" spans="1:20" ht="13.9" customHeight="1" x14ac:dyDescent="0.2">
      <c r="A20">
        <v>6</v>
      </c>
      <c r="B20" s="115" t="s">
        <v>102</v>
      </c>
      <c r="F20">
        <v>358.5</v>
      </c>
      <c r="G20" s="16"/>
      <c r="H20" s="16"/>
      <c r="I20" s="16">
        <f t="shared" si="2"/>
        <v>6.2554528005583671E-2</v>
      </c>
      <c r="J20" s="16">
        <f>F20/$F$40</f>
        <v>6.3141765151381729E-2</v>
      </c>
      <c r="K20" s="8">
        <f>$F$22*J20</f>
        <v>3.3591419060535084</v>
      </c>
      <c r="L20" s="10">
        <f>F20+K20</f>
        <v>361.85914190605348</v>
      </c>
      <c r="O20" s="8">
        <f t="shared" si="0"/>
        <v>60.945000000000007</v>
      </c>
      <c r="P20" s="8">
        <f t="shared" si="1"/>
        <v>297.55500000000001</v>
      </c>
    </row>
    <row r="21" spans="1:20" ht="13.9" customHeight="1" x14ac:dyDescent="0.2">
      <c r="A21">
        <v>7</v>
      </c>
      <c r="B21" s="115" t="s">
        <v>103</v>
      </c>
      <c r="F21">
        <v>221.9</v>
      </c>
      <c r="G21" s="16"/>
      <c r="H21" s="16"/>
      <c r="I21" s="16">
        <f t="shared" si="2"/>
        <v>3.8719246204850816E-2</v>
      </c>
      <c r="J21" s="16">
        <f>F21/$F$40</f>
        <v>3.9082727160646036E-2</v>
      </c>
      <c r="K21" s="8">
        <f>$F$22*J21</f>
        <v>2.0792010849463693</v>
      </c>
      <c r="L21" s="10">
        <f>F21+K21</f>
        <v>223.97920108494637</v>
      </c>
      <c r="O21" s="8">
        <f t="shared" si="0"/>
        <v>37.723000000000006</v>
      </c>
      <c r="P21" s="8">
        <f t="shared" si="1"/>
        <v>184.17699999999999</v>
      </c>
    </row>
    <row r="22" spans="1:20" ht="13.9" customHeight="1" x14ac:dyDescent="0.2">
      <c r="A22">
        <v>8</v>
      </c>
      <c r="B22" s="115" t="s">
        <v>104</v>
      </c>
      <c r="F22">
        <v>53.2</v>
      </c>
      <c r="G22" s="16"/>
      <c r="H22" s="16"/>
      <c r="I22" s="16">
        <f t="shared" si="2"/>
        <v>9.2828476705636015E-3</v>
      </c>
      <c r="J22" s="16"/>
      <c r="K22" s="16"/>
      <c r="O22" s="8">
        <f t="shared" si="0"/>
        <v>9.0440000000000005</v>
      </c>
      <c r="P22" s="8">
        <f t="shared" si="1"/>
        <v>44.156000000000006</v>
      </c>
    </row>
    <row r="23" spans="1:20" ht="13.9" customHeight="1" x14ac:dyDescent="0.2">
      <c r="A23">
        <v>9</v>
      </c>
      <c r="B23" s="11" t="s">
        <v>105</v>
      </c>
      <c r="F23" s="117">
        <f>F15-F33</f>
        <v>343.40000000000055</v>
      </c>
      <c r="G23" s="118"/>
      <c r="H23" s="16">
        <f>F23/$F$15</f>
        <v>5.6533263092043616E-2</v>
      </c>
      <c r="I23" s="16"/>
      <c r="J23" s="16"/>
      <c r="K23" s="8"/>
      <c r="L23" s="8">
        <f>F23</f>
        <v>343.40000000000055</v>
      </c>
      <c r="O23" s="117">
        <f t="shared" si="0"/>
        <v>58.3780000000001</v>
      </c>
      <c r="P23" s="117">
        <f t="shared" si="1"/>
        <v>285.02200000000045</v>
      </c>
    </row>
    <row r="24" spans="1:20" ht="13.9" customHeight="1" x14ac:dyDescent="0.2">
      <c r="A24">
        <v>10</v>
      </c>
      <c r="B24" t="s">
        <v>106</v>
      </c>
      <c r="F24">
        <v>539.70000000000005</v>
      </c>
      <c r="G24" s="16"/>
      <c r="H24" s="16"/>
      <c r="I24" s="16"/>
      <c r="J24" s="16"/>
      <c r="K24" s="16"/>
      <c r="O24" s="8">
        <f t="shared" si="0"/>
        <v>91.749000000000009</v>
      </c>
      <c r="P24" s="8">
        <f t="shared" si="1"/>
        <v>447.95100000000002</v>
      </c>
    </row>
    <row r="25" spans="1:20" ht="13.9" customHeight="1" x14ac:dyDescent="0.2">
      <c r="A25">
        <v>11</v>
      </c>
      <c r="B25" t="s">
        <v>107</v>
      </c>
      <c r="F25">
        <v>370.1</v>
      </c>
      <c r="G25" s="16"/>
      <c r="H25" s="16"/>
      <c r="I25" s="16"/>
      <c r="J25" s="16"/>
      <c r="K25" s="16"/>
      <c r="O25" s="8">
        <f t="shared" si="0"/>
        <v>62.917000000000009</v>
      </c>
      <c r="P25" s="8">
        <f t="shared" si="1"/>
        <v>307.18299999999999</v>
      </c>
    </row>
    <row r="26" spans="1:20" ht="13.9" customHeight="1" x14ac:dyDescent="0.2">
      <c r="A26">
        <v>12</v>
      </c>
      <c r="B26" t="s">
        <v>108</v>
      </c>
      <c r="F26">
        <v>121.4</v>
      </c>
      <c r="G26" s="16"/>
      <c r="H26" s="16"/>
      <c r="I26" s="16"/>
      <c r="J26" s="16"/>
      <c r="K26" s="16"/>
      <c r="O26" s="8">
        <f t="shared" si="0"/>
        <v>20.638000000000002</v>
      </c>
      <c r="P26" s="8">
        <f t="shared" si="1"/>
        <v>100.762</v>
      </c>
    </row>
    <row r="27" spans="1:20" ht="13.9" customHeight="1" x14ac:dyDescent="0.2">
      <c r="A27">
        <v>13</v>
      </c>
      <c r="B27" t="s">
        <v>109</v>
      </c>
      <c r="F27">
        <v>6.2</v>
      </c>
      <c r="G27" s="16"/>
      <c r="H27" s="16"/>
      <c r="I27" s="16"/>
      <c r="J27" s="16"/>
      <c r="K27" s="16"/>
      <c r="O27" s="8">
        <f t="shared" si="0"/>
        <v>1.054</v>
      </c>
      <c r="P27" s="8">
        <f t="shared" si="1"/>
        <v>5.1459999999999999</v>
      </c>
    </row>
    <row r="28" spans="1:20" ht="13.9" customHeight="1" x14ac:dyDescent="0.2">
      <c r="A28">
        <v>14</v>
      </c>
      <c r="B28" t="s">
        <v>110</v>
      </c>
      <c r="F28">
        <v>18.2</v>
      </c>
      <c r="G28" s="16"/>
      <c r="H28" s="16"/>
      <c r="I28" s="16"/>
      <c r="J28" s="16"/>
      <c r="K28" s="16"/>
      <c r="O28" s="8">
        <f t="shared" si="0"/>
        <v>3.0940000000000003</v>
      </c>
      <c r="P28" s="8">
        <f t="shared" si="1"/>
        <v>15.105999999999998</v>
      </c>
    </row>
    <row r="29" spans="1:20" ht="13.9" customHeight="1" x14ac:dyDescent="0.2">
      <c r="A29">
        <v>15</v>
      </c>
      <c r="B29" t="s">
        <v>118</v>
      </c>
      <c r="F29" s="121">
        <f>SUM(F24:F28)</f>
        <v>1055.6000000000001</v>
      </c>
      <c r="G29" s="16">
        <f>F29/$F$30</f>
        <v>0.14805256735718597</v>
      </c>
      <c r="H29" s="16"/>
      <c r="I29" s="16"/>
      <c r="J29" s="16"/>
      <c r="K29" s="16"/>
      <c r="O29" s="121">
        <f t="shared" si="0"/>
        <v>179.45200000000003</v>
      </c>
      <c r="P29" s="121">
        <f t="shared" si="1"/>
        <v>876.14800000000014</v>
      </c>
      <c r="Q29" s="8">
        <f>2*O29</f>
        <v>358.90400000000005</v>
      </c>
    </row>
    <row r="30" spans="1:20" ht="13.9" customHeight="1" x14ac:dyDescent="0.2">
      <c r="A30">
        <v>16</v>
      </c>
      <c r="B30" t="s">
        <v>185</v>
      </c>
      <c r="F30" s="121">
        <v>7129.9</v>
      </c>
      <c r="G30" s="16">
        <f>F30/$F$30</f>
        <v>1</v>
      </c>
      <c r="H30" s="16"/>
      <c r="I30" s="16"/>
      <c r="J30" s="16"/>
      <c r="K30" s="16"/>
      <c r="O30" s="121">
        <f t="shared" si="0"/>
        <v>1212.0830000000001</v>
      </c>
      <c r="P30" s="121">
        <f t="shared" si="1"/>
        <v>5917.8169999999991</v>
      </c>
    </row>
    <row r="31" spans="1:20" ht="13.9" customHeight="1" x14ac:dyDescent="0.2">
      <c r="L31" s="120">
        <f>SUM(L17:L28)</f>
        <v>6074.2999999999993</v>
      </c>
      <c r="P31" s="16">
        <f>P15/$M$15-1</f>
        <v>-5.4468408319424011E-2</v>
      </c>
      <c r="R31" s="16">
        <f>R15/$M$15-1</f>
        <v>-2.0813375593105921E-2</v>
      </c>
    </row>
    <row r="32" spans="1:20" ht="13.9" customHeight="1" x14ac:dyDescent="0.2">
      <c r="K32" s="8"/>
      <c r="P32" s="17">
        <f>(1+P31)^(1/($P$14-$M$14))-1</f>
        <v>-5.0786940350021625E-3</v>
      </c>
      <c r="S32" s="17">
        <f>(1+R31)^(1/($P$14-$M$14))-1</f>
        <v>-1.9102664806520675E-3</v>
      </c>
      <c r="T32" s="17">
        <f>ROUND(S32,2)</f>
        <v>0</v>
      </c>
    </row>
    <row r="33" spans="2:13" ht="13.9" customHeight="1" x14ac:dyDescent="0.2">
      <c r="B33" s="110" t="s">
        <v>120</v>
      </c>
      <c r="F33" s="3">
        <f>SUM(F17:F22)</f>
        <v>5730.9</v>
      </c>
    </row>
    <row r="34" spans="2:13" ht="13.9" customHeight="1" x14ac:dyDescent="0.2">
      <c r="B34" s="110" t="s">
        <v>119</v>
      </c>
      <c r="F34" s="3"/>
    </row>
    <row r="35" spans="2:13" ht="13.9" customHeight="1" x14ac:dyDescent="0.2">
      <c r="B35" s="110" t="s">
        <v>122</v>
      </c>
      <c r="F35" s="3">
        <f>F15+SUM(F24:F28)</f>
        <v>7129.9000000000005</v>
      </c>
    </row>
    <row r="36" spans="2:13" ht="13.9" customHeight="1" x14ac:dyDescent="0.2">
      <c r="B36" s="536" t="s">
        <v>123</v>
      </c>
      <c r="C36" s="537"/>
      <c r="D36" s="537"/>
      <c r="E36" s="537"/>
      <c r="F36" s="537"/>
      <c r="G36" s="537"/>
      <c r="H36" s="537"/>
      <c r="I36" s="537"/>
    </row>
    <row r="37" spans="2:13" ht="13.9" customHeight="1" x14ac:dyDescent="0.2">
      <c r="B37" s="537"/>
      <c r="C37" s="537"/>
      <c r="D37" s="537"/>
      <c r="E37" s="537"/>
      <c r="F37" s="537"/>
      <c r="G37" s="537"/>
      <c r="H37" s="537"/>
      <c r="I37" s="537"/>
    </row>
    <row r="38" spans="2:13" ht="13.9" customHeight="1" x14ac:dyDescent="0.2">
      <c r="B38" s="537"/>
      <c r="C38" s="537"/>
      <c r="D38" s="537"/>
      <c r="E38" s="537"/>
      <c r="F38" s="537"/>
      <c r="G38" s="537"/>
      <c r="H38" s="537"/>
      <c r="I38" s="537"/>
    </row>
    <row r="40" spans="2:13" ht="13.9" customHeight="1" x14ac:dyDescent="0.2">
      <c r="B40" s="119" t="s">
        <v>124</v>
      </c>
      <c r="F40" s="8">
        <f>SUM(F17:F21)</f>
        <v>5677.7</v>
      </c>
      <c r="J40" s="16">
        <f>F40/$F$40</f>
        <v>1</v>
      </c>
    </row>
    <row r="43" spans="2:13" ht="13.9" customHeight="1" x14ac:dyDescent="0.2">
      <c r="B43" s="514" t="s">
        <v>164</v>
      </c>
      <c r="C43" s="514"/>
      <c r="D43" s="514"/>
      <c r="E43" s="514"/>
      <c r="F43" s="514"/>
      <c r="G43" s="514"/>
      <c r="H43" s="514"/>
      <c r="I43" s="514"/>
      <c r="J43" s="514"/>
      <c r="K43" s="514"/>
      <c r="L43" s="514"/>
      <c r="M43" s="514"/>
    </row>
    <row r="44" spans="2:13" ht="13.9" customHeight="1" x14ac:dyDescent="0.2">
      <c r="B44" s="514"/>
      <c r="C44" s="514"/>
      <c r="D44" s="514"/>
      <c r="E44" s="514"/>
      <c r="F44" s="514"/>
      <c r="G44" s="514"/>
      <c r="H44" s="514"/>
      <c r="I44" s="514"/>
      <c r="J44" s="514"/>
      <c r="K44" s="514"/>
      <c r="L44" s="514"/>
      <c r="M44" s="514"/>
    </row>
    <row r="45" spans="2:13" ht="13.9" customHeight="1" x14ac:dyDescent="0.2">
      <c r="B45" s="514"/>
      <c r="C45" s="514"/>
      <c r="D45" s="514"/>
      <c r="E45" s="514"/>
      <c r="F45" s="514"/>
      <c r="G45" s="514"/>
      <c r="H45" s="514"/>
      <c r="I45" s="514"/>
      <c r="J45" s="514"/>
      <c r="K45" s="514"/>
      <c r="L45" s="514"/>
      <c r="M45" s="514"/>
    </row>
    <row r="46" spans="2:13" ht="13.9" customHeight="1" x14ac:dyDescent="0.2">
      <c r="B46" s="514"/>
      <c r="C46" s="514"/>
      <c r="D46" s="514"/>
      <c r="E46" s="514"/>
      <c r="F46" s="514"/>
      <c r="G46" s="514"/>
      <c r="H46" s="514"/>
      <c r="I46" s="514"/>
      <c r="J46" s="514"/>
      <c r="K46" s="514"/>
      <c r="L46" s="514"/>
      <c r="M46" s="514"/>
    </row>
    <row r="47" spans="2:13" ht="13.9" customHeight="1" x14ac:dyDescent="0.25">
      <c r="B47" s="42" t="s">
        <v>168</v>
      </c>
    </row>
    <row r="48" spans="2:13" ht="13.9" customHeight="1" x14ac:dyDescent="0.2">
      <c r="B48" s="3"/>
    </row>
    <row r="49" spans="2:13" ht="13.9" customHeight="1" x14ac:dyDescent="0.2">
      <c r="B49" s="390" t="s">
        <v>597</v>
      </c>
      <c r="C49" s="449"/>
      <c r="D49" s="449"/>
      <c r="E49" s="449"/>
      <c r="F49" s="449"/>
      <c r="G49" s="449"/>
      <c r="H49" s="449"/>
      <c r="I49" s="449"/>
      <c r="J49" s="449"/>
      <c r="K49" s="449"/>
      <c r="L49" s="449"/>
      <c r="M49" s="449"/>
    </row>
    <row r="50" spans="2:13" ht="13.9" customHeight="1" x14ac:dyDescent="0.2">
      <c r="B50" s="449"/>
      <c r="C50" s="449"/>
      <c r="D50" s="449"/>
      <c r="E50" s="449"/>
      <c r="F50" s="449"/>
      <c r="G50" s="449"/>
      <c r="H50" s="449"/>
      <c r="I50" s="449"/>
      <c r="J50" s="449"/>
      <c r="K50" s="449"/>
      <c r="L50" s="449"/>
      <c r="M50" s="449"/>
    </row>
    <row r="51" spans="2:13" ht="13.9" customHeight="1" x14ac:dyDescent="0.2">
      <c r="B51" s="449"/>
      <c r="C51" s="449"/>
      <c r="D51" s="449"/>
      <c r="E51" s="449"/>
      <c r="F51" s="449"/>
      <c r="G51" s="449"/>
      <c r="H51" s="449"/>
      <c r="I51" s="449"/>
      <c r="J51" s="449"/>
      <c r="K51" s="449"/>
      <c r="L51" s="449"/>
      <c r="M51" s="449"/>
    </row>
    <row r="52" spans="2:13" ht="13.9" customHeight="1" x14ac:dyDescent="0.2">
      <c r="B52" s="449"/>
      <c r="C52" s="449"/>
      <c r="D52" s="449"/>
      <c r="E52" s="449"/>
      <c r="F52" s="449"/>
      <c r="G52" s="449"/>
      <c r="H52" s="449"/>
      <c r="I52" s="449"/>
      <c r="J52" s="449"/>
      <c r="K52" s="449"/>
      <c r="L52" s="449"/>
      <c r="M52" s="449"/>
    </row>
  </sheetData>
  <mergeCells count="10">
    <mergeCell ref="F2:K3"/>
    <mergeCell ref="B49:M52"/>
    <mergeCell ref="O6:X8"/>
    <mergeCell ref="Q12:R13"/>
    <mergeCell ref="L12:L14"/>
    <mergeCell ref="B43:M46"/>
    <mergeCell ref="O11:P12"/>
    <mergeCell ref="B36:I38"/>
    <mergeCell ref="K13:K14"/>
    <mergeCell ref="J13:J14"/>
  </mergeCells>
  <phoneticPr fontId="3" type="noConversion"/>
  <hyperlinks>
    <hyperlink ref="B8" r:id="rId1"/>
  </hyperlinks>
  <pageMargins left="0.75" right="0.75" top="1" bottom="1" header="0.5" footer="0.5"/>
  <pageSetup orientation="portrait" r:id="rId2"/>
  <headerFooter alignWithMargins="0"/>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U75"/>
  <sheetViews>
    <sheetView workbookViewId="0"/>
  </sheetViews>
  <sheetFormatPr defaultColWidth="11.5703125" defaultRowHeight="13.9" customHeight="1" x14ac:dyDescent="0.2"/>
  <cols>
    <col min="1" max="1" width="2.5703125" customWidth="1"/>
    <col min="2" max="4" width="14.5703125" customWidth="1"/>
  </cols>
  <sheetData>
    <row r="1" spans="2:14" ht="13.9" customHeight="1" x14ac:dyDescent="0.25">
      <c r="B1" s="70" t="s">
        <v>483</v>
      </c>
      <c r="D1" s="42" t="s">
        <v>586</v>
      </c>
      <c r="J1" s="344">
        <f>Summary!J1</f>
        <v>40823</v>
      </c>
    </row>
    <row r="2" spans="2:14" ht="13.9" customHeight="1" x14ac:dyDescent="0.25">
      <c r="B2" s="70"/>
    </row>
    <row r="3" spans="2:14" ht="13.9" customHeight="1" x14ac:dyDescent="0.2">
      <c r="B3" s="1" t="s">
        <v>518</v>
      </c>
    </row>
    <row r="4" spans="2:14" ht="13.9" customHeight="1" x14ac:dyDescent="0.25">
      <c r="B4" s="70"/>
    </row>
    <row r="5" spans="2:14" ht="13.9" customHeight="1" x14ac:dyDescent="0.2">
      <c r="B5" s="390" t="s">
        <v>519</v>
      </c>
      <c r="C5" s="390"/>
      <c r="D5" s="390"/>
      <c r="E5" s="390"/>
      <c r="F5" s="390"/>
      <c r="G5" s="390"/>
      <c r="H5" s="390"/>
      <c r="I5" s="390"/>
      <c r="J5" s="390"/>
      <c r="K5" s="42"/>
    </row>
    <row r="6" spans="2:14" ht="13.9" customHeight="1" x14ac:dyDescent="0.2">
      <c r="B6" s="390"/>
      <c r="C6" s="390"/>
      <c r="D6" s="390"/>
      <c r="E6" s="390"/>
      <c r="F6" s="390"/>
      <c r="G6" s="390"/>
      <c r="H6" s="390"/>
      <c r="I6" s="390"/>
      <c r="J6" s="390"/>
      <c r="K6" s="42"/>
    </row>
    <row r="7" spans="2:14" ht="13.9" customHeight="1" x14ac:dyDescent="0.2">
      <c r="B7" s="390"/>
      <c r="C7" s="390"/>
      <c r="D7" s="390"/>
      <c r="E7" s="390"/>
      <c r="F7" s="390"/>
      <c r="G7" s="390"/>
      <c r="H7" s="390"/>
      <c r="I7" s="390"/>
      <c r="J7" s="390"/>
      <c r="K7" s="42"/>
    </row>
    <row r="8" spans="2:14" ht="13.9" customHeight="1" x14ac:dyDescent="0.2">
      <c r="B8" s="42"/>
      <c r="C8" s="42"/>
      <c r="D8" s="42"/>
      <c r="E8" s="42"/>
      <c r="F8" s="42"/>
      <c r="G8" s="42"/>
      <c r="H8" s="42"/>
      <c r="I8" s="42"/>
      <c r="J8" s="42"/>
      <c r="K8" s="42"/>
    </row>
    <row r="9" spans="2:14" ht="13.9" customHeight="1" x14ac:dyDescent="0.2">
      <c r="B9" s="390" t="s">
        <v>585</v>
      </c>
      <c r="C9" s="390"/>
      <c r="D9" s="390"/>
      <c r="E9" s="390"/>
      <c r="F9" s="390"/>
      <c r="G9" s="390"/>
      <c r="H9" s="390"/>
      <c r="I9" s="390"/>
      <c r="J9" s="390"/>
      <c r="K9" s="42"/>
      <c r="M9" t="s">
        <v>492</v>
      </c>
    </row>
    <row r="10" spans="2:14" ht="13.9" customHeight="1" thickBot="1" x14ac:dyDescent="0.25">
      <c r="B10" s="390"/>
      <c r="C10" s="390"/>
      <c r="D10" s="390"/>
      <c r="E10" s="390"/>
      <c r="F10" s="390"/>
      <c r="G10" s="390"/>
      <c r="H10" s="390"/>
      <c r="I10" s="390"/>
      <c r="J10" s="390"/>
      <c r="K10" s="42"/>
    </row>
    <row r="11" spans="2:14" ht="13.9" customHeight="1" x14ac:dyDescent="0.2">
      <c r="B11" s="390"/>
      <c r="C11" s="390"/>
      <c r="D11" s="390"/>
      <c r="E11" s="390"/>
      <c r="F11" s="390"/>
      <c r="G11" s="390"/>
      <c r="H11" s="390"/>
      <c r="I11" s="390"/>
      <c r="J11" s="390"/>
      <c r="K11" s="42"/>
      <c r="M11" s="294" t="s">
        <v>493</v>
      </c>
      <c r="N11" s="294"/>
    </row>
    <row r="12" spans="2:14" ht="13.9" customHeight="1" x14ac:dyDescent="0.2">
      <c r="B12" s="42"/>
      <c r="C12" s="42"/>
      <c r="D12" s="42"/>
      <c r="E12" s="42"/>
      <c r="F12" s="42"/>
      <c r="G12" s="42"/>
      <c r="H12" s="42"/>
      <c r="I12" s="42"/>
      <c r="J12" s="42"/>
      <c r="K12" s="42"/>
      <c r="M12" s="291" t="s">
        <v>494</v>
      </c>
      <c r="N12" s="291">
        <v>0.73791166770726702</v>
      </c>
    </row>
    <row r="13" spans="2:14" ht="13.9" customHeight="1" x14ac:dyDescent="0.2">
      <c r="B13" s="390" t="s">
        <v>521</v>
      </c>
      <c r="C13" s="390"/>
      <c r="D13" s="390"/>
      <c r="E13" s="390"/>
      <c r="F13" s="390"/>
      <c r="G13" s="390"/>
      <c r="H13" s="390"/>
      <c r="I13" s="390"/>
      <c r="J13" s="390"/>
      <c r="K13" s="42"/>
      <c r="M13" s="291" t="s">
        <v>495</v>
      </c>
      <c r="N13" s="291">
        <v>0.5445136293385201</v>
      </c>
    </row>
    <row r="14" spans="2:14" ht="13.9" customHeight="1" x14ac:dyDescent="0.2">
      <c r="B14" s="390"/>
      <c r="C14" s="390"/>
      <c r="D14" s="390"/>
      <c r="E14" s="390"/>
      <c r="F14" s="390"/>
      <c r="G14" s="390"/>
      <c r="H14" s="390"/>
      <c r="I14" s="390"/>
      <c r="J14" s="390"/>
      <c r="K14" s="42"/>
      <c r="M14" s="291" t="s">
        <v>496</v>
      </c>
      <c r="N14" s="291">
        <v>0.48757783300583513</v>
      </c>
    </row>
    <row r="15" spans="2:14" ht="13.9" customHeight="1" x14ac:dyDescent="0.2">
      <c r="B15" s="390"/>
      <c r="C15" s="390"/>
      <c r="D15" s="390"/>
      <c r="E15" s="390"/>
      <c r="F15" s="390"/>
      <c r="G15" s="390"/>
      <c r="H15" s="390"/>
      <c r="I15" s="390"/>
      <c r="J15" s="390"/>
      <c r="K15" s="42"/>
      <c r="M15" s="291" t="s">
        <v>497</v>
      </c>
      <c r="N15" s="291">
        <v>1.3700050478224656E-2</v>
      </c>
    </row>
    <row r="16" spans="2:14" ht="13.9" customHeight="1" thickBot="1" x14ac:dyDescent="0.25">
      <c r="B16" s="42"/>
      <c r="C16" s="42"/>
      <c r="D16" s="42"/>
      <c r="E16" s="42"/>
      <c r="F16" s="42"/>
      <c r="G16" s="42"/>
      <c r="H16" s="42"/>
      <c r="I16" s="42"/>
      <c r="J16" s="42"/>
      <c r="K16" s="42"/>
      <c r="M16" s="292" t="s">
        <v>498</v>
      </c>
      <c r="N16" s="292">
        <v>19</v>
      </c>
    </row>
    <row r="17" spans="2:21" ht="13.9" customHeight="1" x14ac:dyDescent="0.2">
      <c r="B17" s="390" t="s">
        <v>523</v>
      </c>
      <c r="C17" s="390"/>
      <c r="D17" s="390"/>
      <c r="E17" s="390"/>
      <c r="F17" s="390"/>
      <c r="G17" s="390"/>
      <c r="H17" s="390"/>
      <c r="I17" s="390"/>
      <c r="J17" s="390"/>
      <c r="K17" s="42"/>
    </row>
    <row r="18" spans="2:21" ht="13.9" customHeight="1" thickBot="1" x14ac:dyDescent="0.25">
      <c r="B18" s="390"/>
      <c r="C18" s="390"/>
      <c r="D18" s="390"/>
      <c r="E18" s="390"/>
      <c r="F18" s="390"/>
      <c r="G18" s="390"/>
      <c r="H18" s="390"/>
      <c r="I18" s="390"/>
      <c r="J18" s="390"/>
      <c r="K18" s="42"/>
      <c r="M18" t="s">
        <v>499</v>
      </c>
    </row>
    <row r="19" spans="2:21" ht="13.9" customHeight="1" x14ac:dyDescent="0.2">
      <c r="B19" s="390"/>
      <c r="C19" s="390"/>
      <c r="D19" s="390"/>
      <c r="E19" s="390"/>
      <c r="F19" s="390"/>
      <c r="G19" s="390"/>
      <c r="H19" s="390"/>
      <c r="I19" s="390"/>
      <c r="J19" s="390"/>
      <c r="K19" s="42"/>
      <c r="M19" s="293"/>
      <c r="N19" s="293" t="s">
        <v>503</v>
      </c>
      <c r="O19" s="293" t="s">
        <v>504</v>
      </c>
      <c r="P19" s="293" t="s">
        <v>505</v>
      </c>
      <c r="Q19" s="293" t="s">
        <v>506</v>
      </c>
      <c r="R19" s="293" t="s">
        <v>507</v>
      </c>
    </row>
    <row r="20" spans="2:21" ht="13.9" customHeight="1" x14ac:dyDescent="0.2">
      <c r="B20" s="42"/>
      <c r="C20" s="42"/>
      <c r="D20" s="42"/>
      <c r="E20" s="42"/>
      <c r="F20" s="42"/>
      <c r="G20" s="42"/>
      <c r="H20" s="42"/>
      <c r="I20" s="42"/>
      <c r="J20" s="42"/>
      <c r="K20" s="42"/>
      <c r="M20" s="291" t="s">
        <v>500</v>
      </c>
      <c r="N20" s="291">
        <v>2</v>
      </c>
      <c r="O20" s="291">
        <v>3.5900267597343575E-3</v>
      </c>
      <c r="P20" s="291">
        <v>1.7950133798671788E-3</v>
      </c>
      <c r="Q20" s="291">
        <v>9.5636429875651459</v>
      </c>
      <c r="R20" s="291">
        <v>1.8526914200409853E-3</v>
      </c>
    </row>
    <row r="21" spans="2:21" ht="13.9" customHeight="1" x14ac:dyDescent="0.2">
      <c r="B21" s="42"/>
      <c r="C21" s="42"/>
      <c r="D21" s="42"/>
      <c r="E21" s="42"/>
      <c r="F21" s="42"/>
      <c r="G21" s="42"/>
      <c r="H21" s="42"/>
      <c r="I21" s="42"/>
      <c r="J21" s="42"/>
      <c r="K21" s="42"/>
      <c r="M21" s="291" t="s">
        <v>501</v>
      </c>
      <c r="N21" s="291">
        <v>16</v>
      </c>
      <c r="O21" s="291">
        <v>3.0030621296944582E-3</v>
      </c>
      <c r="P21" s="291">
        <v>1.8769138310590364E-4</v>
      </c>
      <c r="Q21" s="291"/>
      <c r="R21" s="291"/>
    </row>
    <row r="22" spans="2:21" ht="13.9" customHeight="1" thickBot="1" x14ac:dyDescent="0.25">
      <c r="B22" s="42"/>
      <c r="C22" s="538" t="s">
        <v>484</v>
      </c>
      <c r="D22" s="408" t="s">
        <v>485</v>
      </c>
      <c r="E22" s="408" t="s">
        <v>486</v>
      </c>
      <c r="K22" s="42"/>
      <c r="M22" s="292" t="s">
        <v>185</v>
      </c>
      <c r="N22" s="292">
        <v>18</v>
      </c>
      <c r="O22" s="292">
        <v>6.5930888894288157E-3</v>
      </c>
      <c r="P22" s="292"/>
      <c r="Q22" s="292"/>
      <c r="R22" s="292"/>
    </row>
    <row r="23" spans="2:21" ht="13.9" customHeight="1" thickBot="1" x14ac:dyDescent="0.25">
      <c r="B23" s="42"/>
      <c r="C23" s="512"/>
      <c r="D23" s="512"/>
      <c r="E23" s="512"/>
      <c r="K23" s="42"/>
    </row>
    <row r="24" spans="2:21" ht="13.9" customHeight="1" x14ac:dyDescent="0.2">
      <c r="B24" s="42"/>
      <c r="C24" s="512"/>
      <c r="D24" s="512"/>
      <c r="E24" s="512"/>
      <c r="G24" s="408" t="s">
        <v>490</v>
      </c>
      <c r="H24" s="408" t="s">
        <v>489</v>
      </c>
      <c r="I24" s="408" t="s">
        <v>520</v>
      </c>
      <c r="J24" s="408" t="s">
        <v>491</v>
      </c>
      <c r="K24" s="42"/>
      <c r="M24" s="293"/>
      <c r="N24" s="293" t="s">
        <v>508</v>
      </c>
      <c r="O24" s="293" t="s">
        <v>497</v>
      </c>
      <c r="P24" s="293" t="s">
        <v>509</v>
      </c>
      <c r="Q24" s="293" t="s">
        <v>510</v>
      </c>
      <c r="R24" s="293" t="s">
        <v>511</v>
      </c>
      <c r="S24" s="293" t="s">
        <v>512</v>
      </c>
      <c r="T24" s="293" t="s">
        <v>513</v>
      </c>
      <c r="U24" s="293" t="s">
        <v>514</v>
      </c>
    </row>
    <row r="25" spans="2:21" ht="13.9" customHeight="1" x14ac:dyDescent="0.2">
      <c r="B25" s="42"/>
      <c r="C25" s="512"/>
      <c r="D25" s="512"/>
      <c r="E25" s="512"/>
      <c r="G25" s="513"/>
      <c r="H25" s="513"/>
      <c r="I25" s="513"/>
      <c r="J25" s="513"/>
      <c r="K25" s="42"/>
      <c r="M25" s="291" t="s">
        <v>502</v>
      </c>
      <c r="N25" s="291">
        <v>-1.4664679971747726E-3</v>
      </c>
      <c r="O25" s="291">
        <v>5.7021931976806743E-3</v>
      </c>
      <c r="P25" s="291">
        <v>-0.25717613317122401</v>
      </c>
      <c r="Q25" s="291">
        <v>0.80032085522047958</v>
      </c>
      <c r="R25" s="291">
        <v>-1.355457749395614E-2</v>
      </c>
      <c r="S25" s="291">
        <v>1.0621641499606595E-2</v>
      </c>
      <c r="T25" s="291">
        <v>-1.355457749395614E-2</v>
      </c>
      <c r="U25" s="291">
        <v>1.0621641499606595E-2</v>
      </c>
    </row>
    <row r="26" spans="2:21" ht="13.9" customHeight="1" x14ac:dyDescent="0.2">
      <c r="B26" s="42">
        <v>1965</v>
      </c>
      <c r="C26" s="42"/>
      <c r="D26" s="42">
        <v>8.5</v>
      </c>
      <c r="E26" s="42"/>
      <c r="F26" s="42"/>
      <c r="G26" s="42"/>
      <c r="H26" s="42"/>
      <c r="I26" s="42"/>
      <c r="J26" s="42"/>
      <c r="K26" s="42"/>
      <c r="M26" s="291">
        <v>1.8767673949707797E-2</v>
      </c>
      <c r="N26" s="291">
        <v>0.59670850976333467</v>
      </c>
      <c r="O26" s="291">
        <v>0.21167643770934871</v>
      </c>
      <c r="P26" s="291">
        <v>2.8189651914998235</v>
      </c>
      <c r="Q26" s="291">
        <v>1.234838619973359E-2</v>
      </c>
      <c r="R26" s="291">
        <v>0.14797451071889889</v>
      </c>
      <c r="S26" s="291">
        <v>1.0454425088077706</v>
      </c>
      <c r="T26" s="291">
        <v>0.14797451071889889</v>
      </c>
      <c r="U26" s="291">
        <v>1.0454425088077706</v>
      </c>
    </row>
    <row r="27" spans="2:21" ht="13.9" customHeight="1" thickBot="1" x14ac:dyDescent="0.25">
      <c r="B27">
        <v>1966</v>
      </c>
      <c r="D27">
        <v>8.3000000000000007</v>
      </c>
      <c r="M27" s="292">
        <v>-2.7472385989053549E-2</v>
      </c>
      <c r="N27" s="292">
        <v>-0.23436783527948693</v>
      </c>
      <c r="O27" s="292">
        <v>0.22992443865512385</v>
      </c>
      <c r="P27" s="292">
        <v>-1.0193254647063767</v>
      </c>
      <c r="Q27" s="292">
        <v>0.32321492618199976</v>
      </c>
      <c r="R27" s="292">
        <v>-0.7217858679725232</v>
      </c>
      <c r="S27" s="292">
        <v>0.25305019741354928</v>
      </c>
      <c r="T27" s="292">
        <v>-0.7217858679725232</v>
      </c>
      <c r="U27" s="292">
        <v>0.25305019741354928</v>
      </c>
    </row>
    <row r="28" spans="2:21" ht="13.9" customHeight="1" x14ac:dyDescent="0.2">
      <c r="B28">
        <v>1967</v>
      </c>
      <c r="D28">
        <v>8.1</v>
      </c>
    </row>
    <row r="29" spans="2:21" ht="13.9" customHeight="1" x14ac:dyDescent="0.2">
      <c r="B29">
        <v>1968</v>
      </c>
      <c r="D29">
        <v>7.3</v>
      </c>
    </row>
    <row r="30" spans="2:21" ht="13.9" customHeight="1" x14ac:dyDescent="0.2">
      <c r="B30">
        <v>1969</v>
      </c>
      <c r="D30">
        <v>6.9</v>
      </c>
      <c r="I30" s="16"/>
    </row>
    <row r="31" spans="2:21" ht="13.9" customHeight="1" x14ac:dyDescent="0.2">
      <c r="B31">
        <v>1970</v>
      </c>
      <c r="C31" s="290">
        <v>4269.8999999999996</v>
      </c>
      <c r="D31" s="21">
        <v>7</v>
      </c>
      <c r="E31" s="290">
        <v>1392.2999</v>
      </c>
      <c r="I31" s="16">
        <f t="shared" ref="I31:I70" si="0">(D31/D26)^(1/(B31-B26))-1</f>
        <v>-3.8086936409554406E-2</v>
      </c>
      <c r="M31" t="s">
        <v>515</v>
      </c>
    </row>
    <row r="32" spans="2:21" ht="13.9" customHeight="1" thickBot="1" x14ac:dyDescent="0.25">
      <c r="B32">
        <v>1971</v>
      </c>
      <c r="C32" s="290">
        <v>4413.3</v>
      </c>
      <c r="D32" s="21">
        <v>7.1</v>
      </c>
      <c r="E32" s="290">
        <v>1469.5402770000001</v>
      </c>
      <c r="G32" s="16">
        <f t="shared" ref="G32:G70" si="1">D32/D31-1</f>
        <v>1.4285714285714235E-2</v>
      </c>
      <c r="H32" s="16">
        <f t="shared" ref="H32:H70" si="2">C32/C31-1</f>
        <v>3.3583924682077049E-2</v>
      </c>
      <c r="I32" s="16">
        <f t="shared" si="0"/>
        <v>-3.0749460825419295E-2</v>
      </c>
      <c r="J32" s="16">
        <f t="shared" ref="J32:J70" si="3">E32/E31-1</f>
        <v>5.5476824353718701E-2</v>
      </c>
    </row>
    <row r="33" spans="2:15" ht="13.9" customHeight="1" x14ac:dyDescent="0.2">
      <c r="B33">
        <v>1972</v>
      </c>
      <c r="C33" s="290">
        <v>4647.7</v>
      </c>
      <c r="D33" s="21">
        <v>7.1</v>
      </c>
      <c r="E33" s="290">
        <v>1595.160691</v>
      </c>
      <c r="G33" s="16">
        <f t="shared" si="1"/>
        <v>0</v>
      </c>
      <c r="H33" s="16">
        <f t="shared" si="2"/>
        <v>5.3112183626764509E-2</v>
      </c>
      <c r="I33" s="16">
        <f t="shared" si="0"/>
        <v>-2.6009623254230729E-2</v>
      </c>
      <c r="J33" s="16">
        <f t="shared" si="3"/>
        <v>8.5482797556558632E-2</v>
      </c>
      <c r="M33" s="293" t="s">
        <v>516</v>
      </c>
      <c r="N33" s="293" t="s">
        <v>522</v>
      </c>
      <c r="O33" s="293" t="s">
        <v>517</v>
      </c>
    </row>
    <row r="34" spans="2:15" ht="13.9" customHeight="1" x14ac:dyDescent="0.2">
      <c r="B34">
        <v>1973</v>
      </c>
      <c r="C34" s="290">
        <v>4917</v>
      </c>
      <c r="D34" s="21">
        <v>7.1</v>
      </c>
      <c r="E34" s="290">
        <v>1712.9087810000001</v>
      </c>
      <c r="G34" s="16">
        <f t="shared" si="1"/>
        <v>0</v>
      </c>
      <c r="H34" s="16">
        <f t="shared" si="2"/>
        <v>5.7942638294210091E-2</v>
      </c>
      <c r="I34" s="16">
        <f t="shared" si="0"/>
        <v>-5.5405072815921663E-3</v>
      </c>
      <c r="J34" s="16">
        <f t="shared" si="3"/>
        <v>7.3815817217877999E-2</v>
      </c>
      <c r="M34" s="291">
        <v>1</v>
      </c>
      <c r="N34" s="291">
        <v>2.913332673234046E-3</v>
      </c>
      <c r="O34" s="291">
        <v>1.4349681329485189E-2</v>
      </c>
    </row>
    <row r="35" spans="2:15" ht="13.9" customHeight="1" x14ac:dyDescent="0.2">
      <c r="B35">
        <v>1974</v>
      </c>
      <c r="C35" s="290">
        <v>4889.8999999999996</v>
      </c>
      <c r="D35" s="21">
        <v>8.1999999999999993</v>
      </c>
      <c r="E35" s="290">
        <v>1705.923726</v>
      </c>
      <c r="G35" s="16">
        <f t="shared" si="1"/>
        <v>0.15492957746478875</v>
      </c>
      <c r="H35" s="16">
        <f t="shared" si="2"/>
        <v>-5.5114907463901242E-3</v>
      </c>
      <c r="I35" s="16">
        <f t="shared" si="0"/>
        <v>3.5125368671915957E-2</v>
      </c>
      <c r="J35" s="16">
        <f t="shared" si="3"/>
        <v>-4.0778908237729672E-3</v>
      </c>
      <c r="M35" s="291">
        <v>2</v>
      </c>
      <c r="N35" s="291">
        <v>2.3391178236615056E-2</v>
      </c>
      <c r="O35" s="291">
        <v>-1.9529002760643049E-2</v>
      </c>
    </row>
    <row r="36" spans="2:15" ht="13.9" customHeight="1" x14ac:dyDescent="0.2">
      <c r="B36">
        <v>1975</v>
      </c>
      <c r="C36" s="290">
        <v>4879.5</v>
      </c>
      <c r="D36" s="21">
        <v>8.6</v>
      </c>
      <c r="E36" s="290">
        <v>1747.090627</v>
      </c>
      <c r="G36" s="16">
        <f t="shared" si="1"/>
        <v>4.8780487804878092E-2</v>
      </c>
      <c r="H36" s="16">
        <f t="shared" si="2"/>
        <v>-2.1268328595676067E-3</v>
      </c>
      <c r="I36" s="16">
        <f t="shared" si="0"/>
        <v>4.2029663567281883E-2</v>
      </c>
      <c r="J36" s="16">
        <f t="shared" si="3"/>
        <v>2.4131736004708193E-2</v>
      </c>
      <c r="M36" s="291">
        <v>3</v>
      </c>
      <c r="N36" s="291">
        <v>1.8697261642164134E-2</v>
      </c>
      <c r="O36" s="291">
        <v>1.7024569098189377E-2</v>
      </c>
    </row>
    <row r="37" spans="2:15" ht="13.9" customHeight="1" x14ac:dyDescent="0.2">
      <c r="B37">
        <v>1976</v>
      </c>
      <c r="C37" s="290">
        <v>5141.3</v>
      </c>
      <c r="D37" s="21">
        <v>8.6999999999999993</v>
      </c>
      <c r="E37" s="290">
        <v>1855.2460940000001</v>
      </c>
      <c r="G37" s="16">
        <f t="shared" si="1"/>
        <v>1.1627906976744207E-2</v>
      </c>
      <c r="H37" s="16">
        <f t="shared" si="2"/>
        <v>5.3653038221129323E-2</v>
      </c>
      <c r="I37" s="16">
        <f t="shared" si="0"/>
        <v>4.1482988906745177E-2</v>
      </c>
      <c r="J37" s="16">
        <f t="shared" si="3"/>
        <v>6.1906042725281107E-2</v>
      </c>
      <c r="M37" s="291">
        <v>4</v>
      </c>
      <c r="N37" s="291">
        <v>2.611966252954499E-2</v>
      </c>
      <c r="O37" s="291">
        <v>6.0342714989293847E-4</v>
      </c>
    </row>
    <row r="38" spans="2:15" ht="13.9" customHeight="1" x14ac:dyDescent="0.2">
      <c r="B38">
        <v>1977</v>
      </c>
      <c r="C38" s="290">
        <v>5377.7</v>
      </c>
      <c r="D38" s="21">
        <v>9</v>
      </c>
      <c r="E38" s="290">
        <v>1948.361212</v>
      </c>
      <c r="G38" s="16">
        <f t="shared" si="1"/>
        <v>3.4482758620689724E-2</v>
      </c>
      <c r="H38" s="16">
        <f t="shared" si="2"/>
        <v>4.5980588567093861E-2</v>
      </c>
      <c r="I38" s="16">
        <f t="shared" si="0"/>
        <v>4.8568560823382123E-2</v>
      </c>
      <c r="J38" s="16">
        <f t="shared" si="3"/>
        <v>5.0190170620027619E-2</v>
      </c>
      <c r="M38" s="291">
        <v>5</v>
      </c>
      <c r="N38" s="291">
        <v>1.6982240552307942E-2</v>
      </c>
      <c r="O38" s="291">
        <v>9.982363698482339E-3</v>
      </c>
    </row>
    <row r="39" spans="2:15" ht="13.9" customHeight="1" x14ac:dyDescent="0.2">
      <c r="B39">
        <v>1978</v>
      </c>
      <c r="C39" s="290">
        <v>5677.6</v>
      </c>
      <c r="D39" s="21">
        <v>9.1999999999999993</v>
      </c>
      <c r="E39" s="290">
        <v>2017.922</v>
      </c>
      <c r="G39" s="16">
        <f t="shared" si="1"/>
        <v>2.2222222222222143E-2</v>
      </c>
      <c r="H39" s="16">
        <f t="shared" si="2"/>
        <v>5.5767335477992619E-2</v>
      </c>
      <c r="I39" s="16">
        <f t="shared" si="0"/>
        <v>5.3187984490501439E-2</v>
      </c>
      <c r="J39" s="16">
        <f t="shared" si="3"/>
        <v>3.5702203252442999E-2</v>
      </c>
      <c r="M39" s="291">
        <v>6</v>
      </c>
      <c r="N39" s="291">
        <v>2.4997426630439693E-2</v>
      </c>
      <c r="O39" s="291">
        <v>3.3853023517348389E-3</v>
      </c>
    </row>
    <row r="40" spans="2:15" ht="13.9" customHeight="1" x14ac:dyDescent="0.2">
      <c r="B40">
        <v>1979</v>
      </c>
      <c r="C40" s="290">
        <v>5855</v>
      </c>
      <c r="D40" s="21">
        <v>9.1</v>
      </c>
      <c r="E40" s="290">
        <v>2071.0990000000002</v>
      </c>
      <c r="G40" s="16">
        <f t="shared" si="1"/>
        <v>-1.0869565217391242E-2</v>
      </c>
      <c r="H40" s="16">
        <f t="shared" si="2"/>
        <v>3.1245596731013014E-2</v>
      </c>
      <c r="I40" s="16">
        <f t="shared" si="0"/>
        <v>2.1046469491486031E-2</v>
      </c>
      <c r="J40" s="16">
        <f t="shared" si="3"/>
        <v>2.6352356533106969E-2</v>
      </c>
      <c r="M40" s="291">
        <v>7</v>
      </c>
      <c r="N40" s="291">
        <v>2.9549688081954694E-2</v>
      </c>
      <c r="O40" s="291">
        <v>-1.4771643431154124E-2</v>
      </c>
    </row>
    <row r="41" spans="2:15" ht="13.9" customHeight="1" x14ac:dyDescent="0.2">
      <c r="B41">
        <v>1980</v>
      </c>
      <c r="C41" s="290">
        <v>5839</v>
      </c>
      <c r="D41" s="21">
        <v>9.8000000000000007</v>
      </c>
      <c r="E41" s="290">
        <v>2094.4490000000001</v>
      </c>
      <c r="G41" s="16">
        <f t="shared" si="1"/>
        <v>7.6923076923077094E-2</v>
      </c>
      <c r="H41" s="16">
        <f t="shared" si="2"/>
        <v>-2.7327070879590298E-3</v>
      </c>
      <c r="I41" s="16">
        <f t="shared" si="0"/>
        <v>2.6468260090952711E-2</v>
      </c>
      <c r="J41" s="16">
        <f t="shared" si="3"/>
        <v>1.1274207558402471E-2</v>
      </c>
      <c r="M41" s="291">
        <v>8</v>
      </c>
      <c r="N41" s="291">
        <v>2.9953487712997016E-2</v>
      </c>
      <c r="O41" s="291">
        <v>7.3732652611049124E-3</v>
      </c>
    </row>
    <row r="42" spans="2:15" ht="13.9" customHeight="1" x14ac:dyDescent="0.2">
      <c r="B42">
        <v>1981</v>
      </c>
      <c r="C42" s="290">
        <v>5987.2</v>
      </c>
      <c r="D42" s="21">
        <v>10.5</v>
      </c>
      <c r="E42" s="290">
        <v>2147.1028590000001</v>
      </c>
      <c r="G42" s="16">
        <f t="shared" si="1"/>
        <v>7.1428571428571397E-2</v>
      </c>
      <c r="H42" s="16">
        <f t="shared" si="2"/>
        <v>2.538105840041105E-2</v>
      </c>
      <c r="I42" s="16">
        <f t="shared" si="0"/>
        <v>3.8326670088616899E-2</v>
      </c>
      <c r="J42" s="16">
        <f t="shared" si="3"/>
        <v>2.5139718847295933E-2</v>
      </c>
      <c r="M42" s="291">
        <v>9</v>
      </c>
      <c r="N42" s="291">
        <v>3.3020165357115994E-2</v>
      </c>
      <c r="O42" s="291">
        <v>-1.5905398905311896E-2</v>
      </c>
    </row>
    <row r="43" spans="2:15" ht="13.9" customHeight="1" x14ac:dyDescent="0.2">
      <c r="B43">
        <v>1982</v>
      </c>
      <c r="C43" s="290">
        <v>5870.9</v>
      </c>
      <c r="D43" s="21">
        <v>11</v>
      </c>
      <c r="E43" s="290">
        <v>2086.441354</v>
      </c>
      <c r="G43" s="16">
        <f t="shared" si="1"/>
        <v>4.7619047619047672E-2</v>
      </c>
      <c r="H43" s="16">
        <f t="shared" si="2"/>
        <v>-1.9424772848743999E-2</v>
      </c>
      <c r="I43" s="16">
        <f t="shared" si="0"/>
        <v>4.0950396969256841E-2</v>
      </c>
      <c r="J43" s="16">
        <f t="shared" si="3"/>
        <v>-2.8252724244544503E-2</v>
      </c>
      <c r="M43" s="291">
        <v>10</v>
      </c>
      <c r="N43" s="291">
        <v>2.7668733215049202E-2</v>
      </c>
      <c r="O43" s="291">
        <v>3.5164726448428385E-3</v>
      </c>
    </row>
    <row r="44" spans="2:15" ht="13.9" customHeight="1" x14ac:dyDescent="0.2">
      <c r="B44">
        <v>1983</v>
      </c>
      <c r="C44" s="290">
        <v>6136.2</v>
      </c>
      <c r="D44" s="21">
        <v>10.9</v>
      </c>
      <c r="E44" s="290">
        <v>2150.954596</v>
      </c>
      <c r="G44" s="16">
        <f t="shared" si="1"/>
        <v>-9.0909090909090384E-3</v>
      </c>
      <c r="H44" s="16">
        <f t="shared" si="2"/>
        <v>4.5188982949803336E-2</v>
      </c>
      <c r="I44" s="16">
        <f t="shared" si="0"/>
        <v>3.4493423531187339E-2</v>
      </c>
      <c r="J44" s="16">
        <f t="shared" si="3"/>
        <v>3.0920227820599555E-2</v>
      </c>
      <c r="M44" s="291">
        <v>11</v>
      </c>
      <c r="N44" s="291">
        <v>6.2377809960370012E-3</v>
      </c>
      <c r="O44" s="291">
        <v>-1.605029689804538E-2</v>
      </c>
    </row>
    <row r="45" spans="2:15" ht="13.9" customHeight="1" x14ac:dyDescent="0.2">
      <c r="B45">
        <v>1984</v>
      </c>
      <c r="C45" s="290">
        <v>6577.1</v>
      </c>
      <c r="D45" s="21">
        <v>10.46</v>
      </c>
      <c r="E45" s="290">
        <v>2285.796394</v>
      </c>
      <c r="G45" s="16">
        <f t="shared" si="1"/>
        <v>-4.0366972477064222E-2</v>
      </c>
      <c r="H45" s="16">
        <f t="shared" si="2"/>
        <v>7.1852286431342005E-2</v>
      </c>
      <c r="I45" s="16">
        <f t="shared" si="0"/>
        <v>2.8248437980851193E-2</v>
      </c>
      <c r="J45" s="16">
        <f t="shared" si="3"/>
        <v>6.2689281424515908E-2</v>
      </c>
      <c r="M45" s="291">
        <v>12</v>
      </c>
      <c r="N45" s="291">
        <v>1.0999016653780664E-2</v>
      </c>
      <c r="O45" s="291">
        <v>9.9572250023470862E-3</v>
      </c>
    </row>
    <row r="46" spans="2:15" ht="13.9" customHeight="1" x14ac:dyDescent="0.2">
      <c r="B46">
        <v>1985</v>
      </c>
      <c r="C46" s="290">
        <v>6849.3</v>
      </c>
      <c r="D46" s="21">
        <v>10.46</v>
      </c>
      <c r="E46" s="290">
        <v>2323.9738520000001</v>
      </c>
      <c r="G46" s="16">
        <f t="shared" si="1"/>
        <v>0</v>
      </c>
      <c r="H46" s="16">
        <f t="shared" si="2"/>
        <v>4.1386021194751432E-2</v>
      </c>
      <c r="I46" s="16">
        <f t="shared" si="0"/>
        <v>1.3120543358279502E-2</v>
      </c>
      <c r="J46" s="16">
        <f t="shared" si="3"/>
        <v>1.6702037898131517E-2</v>
      </c>
      <c r="M46" s="291">
        <v>13</v>
      </c>
      <c r="N46" s="291">
        <v>1.32149573503601E-2</v>
      </c>
      <c r="O46" s="291">
        <v>-4.84997106810575E-3</v>
      </c>
    </row>
    <row r="47" spans="2:15" ht="13.9" customHeight="1" x14ac:dyDescent="0.2">
      <c r="B47">
        <v>1986</v>
      </c>
      <c r="C47" s="290">
        <v>7086.5</v>
      </c>
      <c r="D47" s="21">
        <v>10.23</v>
      </c>
      <c r="E47" s="290">
        <v>2368.753052</v>
      </c>
      <c r="G47" s="16">
        <f t="shared" si="1"/>
        <v>-2.1988527724665419E-2</v>
      </c>
      <c r="H47" s="16">
        <f t="shared" si="2"/>
        <v>3.463127618880768E-2</v>
      </c>
      <c r="I47" s="16">
        <f t="shared" si="0"/>
        <v>-5.1965862256307949E-3</v>
      </c>
      <c r="J47" s="16">
        <f t="shared" si="3"/>
        <v>1.9268375141769933E-2</v>
      </c>
      <c r="M47" s="291">
        <v>14</v>
      </c>
      <c r="N47" s="291">
        <v>1.8582704104310968E-2</v>
      </c>
      <c r="O47" s="291">
        <v>-3.8584971623916303E-3</v>
      </c>
    </row>
    <row r="48" spans="2:15" ht="13.9" customHeight="1" x14ac:dyDescent="0.2">
      <c r="B48">
        <v>1987</v>
      </c>
      <c r="C48" s="290">
        <v>7313.3</v>
      </c>
      <c r="D48" s="21">
        <v>9.84</v>
      </c>
      <c r="E48" s="290">
        <v>2457.272219</v>
      </c>
      <c r="G48" s="16">
        <f t="shared" si="1"/>
        <v>-3.8123167155425297E-2</v>
      </c>
      <c r="H48" s="16">
        <f t="shared" si="2"/>
        <v>3.2004515628307306E-2</v>
      </c>
      <c r="I48" s="16">
        <f t="shared" si="0"/>
        <v>-2.2041371849641389E-2</v>
      </c>
      <c r="J48" s="16">
        <f t="shared" si="3"/>
        <v>3.7369521033550068E-2</v>
      </c>
      <c r="M48" s="291">
        <v>15</v>
      </c>
      <c r="N48" s="291">
        <v>1.4017513955285003E-2</v>
      </c>
      <c r="O48" s="291">
        <v>1.1557257548908181E-2</v>
      </c>
    </row>
    <row r="49" spans="2:15" ht="13.9" customHeight="1" x14ac:dyDescent="0.2">
      <c r="B49">
        <v>1988</v>
      </c>
      <c r="C49" s="290">
        <v>7613.9</v>
      </c>
      <c r="D49" s="21">
        <v>9.48</v>
      </c>
      <c r="E49" s="290">
        <v>2578.0624950000001</v>
      </c>
      <c r="G49" s="16">
        <f t="shared" si="1"/>
        <v>-3.6585365853658458E-2</v>
      </c>
      <c r="H49" s="16">
        <f t="shared" si="2"/>
        <v>4.1103195547837368E-2</v>
      </c>
      <c r="I49" s="16">
        <f t="shared" si="0"/>
        <v>-2.752965214666947E-2</v>
      </c>
      <c r="J49" s="16">
        <f t="shared" si="3"/>
        <v>4.9156245313820568E-2</v>
      </c>
      <c r="M49" s="291">
        <v>16</v>
      </c>
      <c r="N49" s="291">
        <v>1.1194522840621923E-2</v>
      </c>
      <c r="O49" s="291">
        <v>-9.6564927853063139E-3</v>
      </c>
    </row>
    <row r="50" spans="2:15" ht="13.9" customHeight="1" x14ac:dyDescent="0.2">
      <c r="B50">
        <v>1989</v>
      </c>
      <c r="C50" s="290">
        <v>7885.9</v>
      </c>
      <c r="D50" s="21">
        <v>9.2799999999999994</v>
      </c>
      <c r="E50" s="290">
        <v>2755.6351530000002</v>
      </c>
      <c r="G50" s="16">
        <f t="shared" si="1"/>
        <v>-2.1097046413502185E-2</v>
      </c>
      <c r="H50" s="16">
        <f t="shared" si="2"/>
        <v>3.5724136119465788E-2</v>
      </c>
      <c r="I50" s="16">
        <f t="shared" si="0"/>
        <v>-2.3655108320233764E-2</v>
      </c>
      <c r="J50" s="16">
        <f t="shared" si="3"/>
        <v>6.8878337256909727E-2</v>
      </c>
      <c r="M50" s="291">
        <v>17</v>
      </c>
      <c r="N50" s="291">
        <v>5.6546306557930725E-3</v>
      </c>
      <c r="O50" s="291">
        <v>2.237081164864952E-2</v>
      </c>
    </row>
    <row r="51" spans="2:15" ht="13.9" customHeight="1" x14ac:dyDescent="0.2">
      <c r="B51">
        <v>1990</v>
      </c>
      <c r="C51" s="290">
        <v>8033.9</v>
      </c>
      <c r="D51" s="21">
        <v>9.1</v>
      </c>
      <c r="E51" s="290">
        <v>2837.0836049999998</v>
      </c>
      <c r="G51" s="16">
        <f t="shared" si="1"/>
        <v>-1.93965517241379E-2</v>
      </c>
      <c r="H51" s="16">
        <f t="shared" si="2"/>
        <v>1.8767673949707797E-2</v>
      </c>
      <c r="I51" s="16">
        <f t="shared" si="0"/>
        <v>-2.7472385989053549E-2</v>
      </c>
      <c r="J51" s="16">
        <f t="shared" si="3"/>
        <v>2.9557052177726861E-2</v>
      </c>
      <c r="M51" s="291">
        <v>18</v>
      </c>
      <c r="N51" s="291">
        <v>-7.4940189669611169E-3</v>
      </c>
      <c r="O51" s="291">
        <v>3.0669933831603026E-3</v>
      </c>
    </row>
    <row r="52" spans="2:15" ht="13.9" customHeight="1" thickBot="1" x14ac:dyDescent="0.25">
      <c r="B52">
        <v>1991</v>
      </c>
      <c r="C52" s="290">
        <v>8015.1</v>
      </c>
      <c r="D52" s="21">
        <v>9.0299999999999994</v>
      </c>
      <c r="E52" s="290">
        <v>2886.060219</v>
      </c>
      <c r="G52" s="16">
        <f t="shared" si="1"/>
        <v>-7.692307692307776E-3</v>
      </c>
      <c r="H52" s="16">
        <f t="shared" si="2"/>
        <v>-2.3400838944970248E-3</v>
      </c>
      <c r="I52" s="16">
        <f t="shared" si="0"/>
        <v>-2.464565428497123E-2</v>
      </c>
      <c r="J52" s="16">
        <f t="shared" si="3"/>
        <v>1.7263014002719235E-2</v>
      </c>
      <c r="M52" s="292">
        <v>19</v>
      </c>
      <c r="N52" s="292">
        <v>-2.3661359910925724E-2</v>
      </c>
      <c r="O52" s="292">
        <v>-1.8566066105839378E-2</v>
      </c>
    </row>
    <row r="53" spans="2:15" ht="13.9" customHeight="1" x14ac:dyDescent="0.2">
      <c r="B53">
        <v>1992</v>
      </c>
      <c r="C53" s="290">
        <v>8287.1</v>
      </c>
      <c r="D53" s="21">
        <v>8.91</v>
      </c>
      <c r="E53" s="290">
        <v>2897.20669</v>
      </c>
      <c r="G53" s="16">
        <f t="shared" si="1"/>
        <v>-1.3289036544850363E-2</v>
      </c>
      <c r="H53" s="16">
        <f t="shared" si="2"/>
        <v>3.3935945902109799E-2</v>
      </c>
      <c r="I53" s="16">
        <f t="shared" si="0"/>
        <v>-1.9660456058903764E-2</v>
      </c>
      <c r="J53" s="16">
        <f t="shared" si="3"/>
        <v>3.8621754759720073E-3</v>
      </c>
    </row>
    <row r="54" spans="2:15" ht="13.9" customHeight="1" x14ac:dyDescent="0.2">
      <c r="B54">
        <v>1993</v>
      </c>
      <c r="C54" s="290">
        <v>8523.4</v>
      </c>
      <c r="D54" s="21">
        <v>8.86</v>
      </c>
      <c r="E54" s="290">
        <v>3000.7002170000001</v>
      </c>
      <c r="G54" s="16">
        <f t="shared" si="1"/>
        <v>-5.6116722783390305E-3</v>
      </c>
      <c r="H54" s="16">
        <f t="shared" si="2"/>
        <v>2.8514196763644639E-2</v>
      </c>
      <c r="I54" s="16">
        <f t="shared" si="0"/>
        <v>-1.3436424745105091E-2</v>
      </c>
      <c r="J54" s="16">
        <f t="shared" si="3"/>
        <v>3.5721830740353511E-2</v>
      </c>
    </row>
    <row r="55" spans="2:15" ht="13.9" customHeight="1" x14ac:dyDescent="0.2">
      <c r="B55">
        <v>1994</v>
      </c>
      <c r="C55" s="290">
        <v>8870.7000000000007</v>
      </c>
      <c r="D55" s="21">
        <v>8.65</v>
      </c>
      <c r="E55" s="290">
        <v>3080.8881980000001</v>
      </c>
      <c r="G55" s="16">
        <f t="shared" si="1"/>
        <v>-2.3702031602708673E-2</v>
      </c>
      <c r="H55" s="16">
        <f t="shared" si="2"/>
        <v>4.0746650397728734E-2</v>
      </c>
      <c r="I55" s="16">
        <f t="shared" si="0"/>
        <v>-1.3962058770313979E-2</v>
      </c>
      <c r="J55" s="16">
        <f t="shared" si="3"/>
        <v>2.6723089679437928E-2</v>
      </c>
    </row>
    <row r="56" spans="2:15" ht="13.9" customHeight="1" x14ac:dyDescent="0.2">
      <c r="B56">
        <v>1995</v>
      </c>
      <c r="C56" s="290">
        <v>9093.7000000000007</v>
      </c>
      <c r="D56" s="21">
        <v>8.4499999999999993</v>
      </c>
      <c r="E56" s="290">
        <v>3163.9631290000002</v>
      </c>
      <c r="G56" s="16">
        <f t="shared" si="1"/>
        <v>-2.3121387283237094E-2</v>
      </c>
      <c r="H56" s="16">
        <f t="shared" si="2"/>
        <v>2.5138940557114964E-2</v>
      </c>
      <c r="I56" s="16">
        <f t="shared" si="0"/>
        <v>-1.4712295262298669E-2</v>
      </c>
      <c r="J56" s="16">
        <f t="shared" si="3"/>
        <v>2.6964604250790281E-2</v>
      </c>
    </row>
    <row r="57" spans="2:15" ht="13.9" customHeight="1" x14ac:dyDescent="0.2">
      <c r="B57">
        <v>1996</v>
      </c>
      <c r="C57" s="290">
        <v>9433.9</v>
      </c>
      <c r="D57" s="21">
        <v>8.26</v>
      </c>
      <c r="E57" s="290">
        <v>3253.7650370000001</v>
      </c>
      <c r="G57" s="16">
        <f t="shared" si="1"/>
        <v>-2.2485207100591653E-2</v>
      </c>
      <c r="H57" s="16">
        <f t="shared" si="2"/>
        <v>3.7410514971903508E-2</v>
      </c>
      <c r="I57" s="16">
        <f t="shared" si="0"/>
        <v>-1.7667620577342169E-2</v>
      </c>
      <c r="J57" s="16">
        <f t="shared" si="3"/>
        <v>2.8382728982174532E-2</v>
      </c>
    </row>
    <row r="58" spans="2:15" ht="13.9" customHeight="1" x14ac:dyDescent="0.2">
      <c r="B58">
        <v>1997</v>
      </c>
      <c r="C58" s="290">
        <v>9854.2999999999993</v>
      </c>
      <c r="D58" s="21">
        <v>8.1</v>
      </c>
      <c r="E58" s="290">
        <v>3301.849322</v>
      </c>
      <c r="G58" s="16">
        <f t="shared" si="1"/>
        <v>-1.937046004842613E-2</v>
      </c>
      <c r="H58" s="16">
        <f t="shared" si="2"/>
        <v>4.4562694113781109E-2</v>
      </c>
      <c r="I58" s="16">
        <f t="shared" si="0"/>
        <v>-1.8881504273735694E-2</v>
      </c>
      <c r="J58" s="16">
        <f t="shared" si="3"/>
        <v>1.477804465080057E-2</v>
      </c>
    </row>
    <row r="59" spans="2:15" ht="13.9" customHeight="1" x14ac:dyDescent="0.2">
      <c r="B59">
        <v>1998</v>
      </c>
      <c r="C59" s="290">
        <v>10283.5</v>
      </c>
      <c r="D59" s="21">
        <v>7.88</v>
      </c>
      <c r="E59" s="290">
        <v>3425.0966360000002</v>
      </c>
      <c r="G59" s="16">
        <f t="shared" si="1"/>
        <v>-2.7160493827160459E-2</v>
      </c>
      <c r="H59" s="16">
        <f t="shared" si="2"/>
        <v>4.3554590381863934E-2</v>
      </c>
      <c r="I59" s="16">
        <f t="shared" si="0"/>
        <v>-2.3171101885978818E-2</v>
      </c>
      <c r="J59" s="16">
        <f t="shared" si="3"/>
        <v>3.7326752974101929E-2</v>
      </c>
    </row>
    <row r="60" spans="2:15" ht="13.9" customHeight="1" x14ac:dyDescent="0.2">
      <c r="B60">
        <v>1999</v>
      </c>
      <c r="C60" s="290">
        <v>10779.8</v>
      </c>
      <c r="D60" s="21">
        <v>7.65</v>
      </c>
      <c r="E60" s="290">
        <v>3483.7163650000002</v>
      </c>
      <c r="G60" s="16">
        <f t="shared" si="1"/>
        <v>-2.9187817258883197E-2</v>
      </c>
      <c r="H60" s="16">
        <f t="shared" si="2"/>
        <v>4.8261778577332493E-2</v>
      </c>
      <c r="I60" s="16">
        <f t="shared" si="0"/>
        <v>-2.4271331320269041E-2</v>
      </c>
      <c r="J60" s="16">
        <f t="shared" si="3"/>
        <v>1.7114766451804098E-2</v>
      </c>
    </row>
    <row r="61" spans="2:15" ht="13.9" customHeight="1" x14ac:dyDescent="0.2">
      <c r="B61">
        <v>2000</v>
      </c>
      <c r="C61" s="290">
        <v>11226</v>
      </c>
      <c r="D61" s="21">
        <v>7.68</v>
      </c>
      <c r="E61" s="290">
        <v>3592.356777</v>
      </c>
      <c r="G61" s="16">
        <f t="shared" si="1"/>
        <v>3.9215686274509665E-3</v>
      </c>
      <c r="H61" s="16">
        <f t="shared" si="2"/>
        <v>4.139223362214528E-2</v>
      </c>
      <c r="I61" s="16">
        <f t="shared" si="0"/>
        <v>-1.8927952150463612E-2</v>
      </c>
      <c r="J61" s="16">
        <f t="shared" si="3"/>
        <v>3.118520585989204E-2</v>
      </c>
    </row>
    <row r="62" spans="2:15" ht="13.9" customHeight="1" x14ac:dyDescent="0.2">
      <c r="B62">
        <v>2001</v>
      </c>
      <c r="C62" s="290">
        <v>11347.2</v>
      </c>
      <c r="D62" s="21">
        <v>8.0399999999999991</v>
      </c>
      <c r="E62" s="290">
        <v>3557.1067189999999</v>
      </c>
      <c r="G62" s="16">
        <f t="shared" si="1"/>
        <v>4.6875E-2</v>
      </c>
      <c r="H62" s="16">
        <f t="shared" si="2"/>
        <v>1.0796365579903933E-2</v>
      </c>
      <c r="I62" s="16">
        <f t="shared" si="0"/>
        <v>-5.3845519188340241E-3</v>
      </c>
      <c r="J62" s="16">
        <f t="shared" si="3"/>
        <v>-9.8125159020083785E-3</v>
      </c>
    </row>
    <row r="63" spans="2:15" ht="13.9" customHeight="1" x14ac:dyDescent="0.2">
      <c r="B63">
        <v>2002</v>
      </c>
      <c r="C63" s="290">
        <v>11553</v>
      </c>
      <c r="D63" s="21">
        <v>7.82</v>
      </c>
      <c r="E63" s="290">
        <v>3631.6503069999999</v>
      </c>
      <c r="G63" s="16">
        <f t="shared" si="1"/>
        <v>-2.736318407960181E-2</v>
      </c>
      <c r="H63" s="16">
        <f t="shared" si="2"/>
        <v>1.813663282571909E-2</v>
      </c>
      <c r="I63" s="16">
        <f t="shared" si="0"/>
        <v>-7.0112074186130524E-3</v>
      </c>
      <c r="J63" s="16">
        <f t="shared" si="3"/>
        <v>2.095624165612775E-2</v>
      </c>
    </row>
    <row r="64" spans="2:15" ht="13.9" customHeight="1" x14ac:dyDescent="0.2">
      <c r="B64">
        <v>2003</v>
      </c>
      <c r="C64" s="290">
        <v>11840.7</v>
      </c>
      <c r="D64" s="21">
        <v>7.91</v>
      </c>
      <c r="E64" s="290">
        <v>3662.029012</v>
      </c>
      <c r="G64" s="16">
        <f t="shared" si="1"/>
        <v>1.1508951406649537E-2</v>
      </c>
      <c r="H64" s="16">
        <f t="shared" si="2"/>
        <v>2.4902622695403887E-2</v>
      </c>
      <c r="I64" s="16">
        <f t="shared" si="0"/>
        <v>7.6026443656695974E-4</v>
      </c>
      <c r="J64" s="16">
        <f t="shared" si="3"/>
        <v>8.3649862822543497E-3</v>
      </c>
    </row>
    <row r="65" spans="2:10" ht="13.9" customHeight="1" x14ac:dyDescent="0.2">
      <c r="B65" s="288">
        <v>2004</v>
      </c>
      <c r="C65" s="290">
        <v>12263.8</v>
      </c>
      <c r="D65" s="21">
        <v>7.86</v>
      </c>
      <c r="E65" s="290">
        <v>3715.9494850000001</v>
      </c>
      <c r="G65" s="16">
        <f t="shared" si="1"/>
        <v>-6.321112515802807E-3</v>
      </c>
      <c r="H65" s="16">
        <f t="shared" si="2"/>
        <v>3.5732684723031483E-2</v>
      </c>
      <c r="I65" s="16">
        <f t="shared" si="0"/>
        <v>5.4308858035898577E-3</v>
      </c>
      <c r="J65" s="16">
        <f t="shared" si="3"/>
        <v>1.4724206941919338E-2</v>
      </c>
    </row>
    <row r="66" spans="2:10" ht="13.9" customHeight="1" x14ac:dyDescent="0.2">
      <c r="B66" s="288">
        <v>2005</v>
      </c>
      <c r="C66" s="290">
        <v>12638.4</v>
      </c>
      <c r="D66" s="21">
        <v>8.14</v>
      </c>
      <c r="E66" s="290">
        <v>3810.9840439999998</v>
      </c>
      <c r="G66" s="16">
        <f t="shared" si="1"/>
        <v>3.5623409669211181E-2</v>
      </c>
      <c r="H66" s="16">
        <f t="shared" si="2"/>
        <v>3.0545181754431772E-2</v>
      </c>
      <c r="I66" s="16">
        <f t="shared" si="0"/>
        <v>1.1702066238768793E-2</v>
      </c>
      <c r="J66" s="16">
        <f t="shared" si="3"/>
        <v>2.5574771504193183E-2</v>
      </c>
    </row>
    <row r="67" spans="2:10" ht="13.9" customHeight="1" x14ac:dyDescent="0.2">
      <c r="B67" s="288">
        <v>2006</v>
      </c>
      <c r="C67" s="290">
        <v>12976.2</v>
      </c>
      <c r="D67" s="21">
        <v>8.6199999999999992</v>
      </c>
      <c r="E67" s="290">
        <v>3816.845452</v>
      </c>
      <c r="G67" s="16">
        <f t="shared" si="1"/>
        <v>5.896805896805879E-2</v>
      </c>
      <c r="H67" s="16">
        <f t="shared" si="2"/>
        <v>2.6728066843904275E-2</v>
      </c>
      <c r="I67" s="16">
        <f t="shared" si="0"/>
        <v>1.4028691665660453E-2</v>
      </c>
      <c r="J67" s="16">
        <f t="shared" si="3"/>
        <v>1.538030055315609E-3</v>
      </c>
    </row>
    <row r="68" spans="2:10" ht="13.9" customHeight="1" x14ac:dyDescent="0.2">
      <c r="B68" s="288">
        <v>2007</v>
      </c>
      <c r="C68" s="290">
        <v>13228.9</v>
      </c>
      <c r="D68" s="21">
        <v>8.6</v>
      </c>
      <c r="E68" s="290">
        <v>3923.8142339999999</v>
      </c>
      <c r="G68" s="16">
        <f t="shared" si="1"/>
        <v>-2.3201856148491462E-3</v>
      </c>
      <c r="H68" s="16">
        <f t="shared" si="2"/>
        <v>1.9474114147439048E-2</v>
      </c>
      <c r="I68" s="16">
        <f t="shared" si="0"/>
        <v>1.9197476366781041E-2</v>
      </c>
      <c r="J68" s="16">
        <f t="shared" si="3"/>
        <v>2.8025442304442594E-2</v>
      </c>
    </row>
    <row r="69" spans="2:10" ht="13.9" customHeight="1" x14ac:dyDescent="0.2">
      <c r="B69" s="288">
        <v>2008</v>
      </c>
      <c r="C69" s="290">
        <v>13228.8</v>
      </c>
      <c r="D69" s="21">
        <v>8.98</v>
      </c>
      <c r="E69" s="290">
        <v>3906.4434080000001</v>
      </c>
      <c r="G69" s="16">
        <f t="shared" si="1"/>
        <v>4.4186046511627941E-2</v>
      </c>
      <c r="H69" s="16">
        <f t="shared" si="2"/>
        <v>-7.5592074927355313E-6</v>
      </c>
      <c r="I69" s="16">
        <f t="shared" si="0"/>
        <v>2.569909100011869E-2</v>
      </c>
      <c r="J69" s="16">
        <f t="shared" si="3"/>
        <v>-4.4270255838008143E-3</v>
      </c>
    </row>
    <row r="70" spans="2:10" ht="13.9" customHeight="1" x14ac:dyDescent="0.2">
      <c r="B70" s="289">
        <v>2009</v>
      </c>
      <c r="C70" s="290">
        <v>12880.6</v>
      </c>
      <c r="D70" s="21">
        <v>9.01</v>
      </c>
      <c r="E70" s="290">
        <v>3741.4843580000002</v>
      </c>
      <c r="G70" s="16">
        <f t="shared" si="1"/>
        <v>3.3407572383072903E-3</v>
      </c>
      <c r="H70" s="16">
        <f t="shared" si="2"/>
        <v>-2.6321359458151838E-2</v>
      </c>
      <c r="I70" s="16">
        <f t="shared" si="0"/>
        <v>2.7686020689631885E-2</v>
      </c>
      <c r="J70" s="16">
        <f t="shared" si="3"/>
        <v>-4.2227426016765102E-2</v>
      </c>
    </row>
    <row r="71" spans="2:10" ht="13.9" customHeight="1" x14ac:dyDescent="0.2">
      <c r="B71" s="289">
        <v>2010</v>
      </c>
      <c r="C71" s="290">
        <v>13248.2</v>
      </c>
    </row>
    <row r="73" spans="2:10" ht="13.9" customHeight="1" x14ac:dyDescent="0.2">
      <c r="D73" s="512" t="s">
        <v>488</v>
      </c>
      <c r="E73" s="512" t="s">
        <v>487</v>
      </c>
    </row>
    <row r="74" spans="2:10" ht="13.9" customHeight="1" x14ac:dyDescent="0.2">
      <c r="D74" s="513"/>
      <c r="E74" s="513"/>
    </row>
    <row r="75" spans="2:10" ht="13.9" customHeight="1" x14ac:dyDescent="0.2">
      <c r="D75" s="513"/>
      <c r="E75" s="513"/>
    </row>
  </sheetData>
  <mergeCells count="13">
    <mergeCell ref="B5:J7"/>
    <mergeCell ref="B9:J11"/>
    <mergeCell ref="B13:J15"/>
    <mergeCell ref="B17:J19"/>
    <mergeCell ref="C22:C25"/>
    <mergeCell ref="D22:D25"/>
    <mergeCell ref="E22:E25"/>
    <mergeCell ref="D73:D75"/>
    <mergeCell ref="E73:E75"/>
    <mergeCell ref="H24:H25"/>
    <mergeCell ref="G24:G25"/>
    <mergeCell ref="J24:J25"/>
    <mergeCell ref="I24:I2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F45"/>
  <sheetViews>
    <sheetView workbookViewId="0">
      <selection activeCell="AF13" sqref="AF13"/>
    </sheetView>
  </sheetViews>
  <sheetFormatPr defaultColWidth="10.140625" defaultRowHeight="12" x14ac:dyDescent="0.2"/>
  <cols>
    <col min="1" max="1" width="2.5703125" customWidth="1"/>
    <col min="2" max="7" width="10.140625" customWidth="1"/>
    <col min="8" max="8" width="1.5703125" customWidth="1"/>
    <col min="9" max="31" width="10.5703125" customWidth="1"/>
  </cols>
  <sheetData>
    <row r="1" spans="2:32" ht="15" x14ac:dyDescent="0.25">
      <c r="B1" s="70" t="s">
        <v>57</v>
      </c>
      <c r="E1" s="42" t="s">
        <v>598</v>
      </c>
      <c r="K1" s="344">
        <f>Summary!J1</f>
        <v>40823</v>
      </c>
    </row>
    <row r="5" spans="2:32" x14ac:dyDescent="0.2">
      <c r="B5" s="9" t="s">
        <v>68</v>
      </c>
    </row>
    <row r="7" spans="2:32" x14ac:dyDescent="0.2">
      <c r="B7" s="42" t="s">
        <v>526</v>
      </c>
    </row>
    <row r="9" spans="2:32" x14ac:dyDescent="0.2">
      <c r="B9" t="s">
        <v>58</v>
      </c>
      <c r="I9">
        <f>Summary!P115</f>
        <v>2012</v>
      </c>
      <c r="J9">
        <f>Summary!Q114</f>
        <v>0</v>
      </c>
      <c r="K9">
        <f>Summary!R115</f>
        <v>2014</v>
      </c>
      <c r="L9">
        <f>Summary!S115</f>
        <v>2015</v>
      </c>
      <c r="M9">
        <f>Summary!T115</f>
        <v>2016</v>
      </c>
      <c r="N9">
        <f>Summary!U115</f>
        <v>2017</v>
      </c>
      <c r="O9">
        <f>Summary!V115</f>
        <v>2018</v>
      </c>
      <c r="P9">
        <f>Summary!W115</f>
        <v>2019</v>
      </c>
      <c r="Q9">
        <f>Summary!X115</f>
        <v>2020</v>
      </c>
      <c r="R9">
        <f>Summary!Y115</f>
        <v>2021</v>
      </c>
      <c r="S9">
        <f>Summary!Z115</f>
        <v>2022</v>
      </c>
      <c r="T9">
        <f>Summary!AA115</f>
        <v>2023</v>
      </c>
      <c r="U9">
        <f>Summary!AB115</f>
        <v>2024</v>
      </c>
      <c r="V9">
        <f>Summary!AC115</f>
        <v>2025</v>
      </c>
      <c r="W9">
        <f>Summary!AD115</f>
        <v>2026</v>
      </c>
      <c r="X9">
        <f>Summary!AE115</f>
        <v>2027</v>
      </c>
      <c r="Y9">
        <f>Summary!AF115</f>
        <v>2028</v>
      </c>
      <c r="Z9">
        <f>Summary!AG115</f>
        <v>2029</v>
      </c>
      <c r="AA9">
        <f>Summary!AH115</f>
        <v>2030</v>
      </c>
      <c r="AB9">
        <f>Summary!AI115</f>
        <v>2031</v>
      </c>
      <c r="AC9">
        <f>Summary!AJ115</f>
        <v>2032</v>
      </c>
      <c r="AD9">
        <f>Summary!AK115</f>
        <v>2033</v>
      </c>
      <c r="AE9">
        <f>Summary!AL115</f>
        <v>2034</v>
      </c>
    </row>
    <row r="10" spans="2:32" x14ac:dyDescent="0.2">
      <c r="B10" t="s">
        <v>66</v>
      </c>
      <c r="I10" s="2">
        <f>Summary!P157</f>
        <v>78.679342777878503</v>
      </c>
      <c r="J10" s="2">
        <f>Summary!Q157</f>
        <v>108.67534978228421</v>
      </c>
      <c r="K10" s="2">
        <f>Summary!R157</f>
        <v>139.17109346384132</v>
      </c>
      <c r="L10" s="2">
        <f>Summary!S157</f>
        <v>170.3809797332429</v>
      </c>
      <c r="M10" s="2">
        <f>Summary!T157</f>
        <v>201.7196808295601</v>
      </c>
      <c r="N10" s="2">
        <f>Summary!U157</f>
        <v>233.70195666113608</v>
      </c>
      <c r="O10" s="2">
        <f>Summary!V157</f>
        <v>265.9424307305311</v>
      </c>
      <c r="P10" s="2">
        <f>Summary!W157</f>
        <v>298.65531460311723</v>
      </c>
      <c r="Q10" s="2">
        <f>Summary!X157</f>
        <v>331.65407490765097</v>
      </c>
      <c r="R10" s="2">
        <f>Summary!Y157</f>
        <v>365.0510371652274</v>
      </c>
      <c r="S10" s="2">
        <f>Summary!Z157</f>
        <v>400.78970583156161</v>
      </c>
      <c r="T10" s="2">
        <f>Summary!AA157</f>
        <v>437.50973710045162</v>
      </c>
      <c r="U10" s="2">
        <f>Summary!AB157</f>
        <v>474.82919587319617</v>
      </c>
      <c r="V10" s="2">
        <f>Summary!AC157</f>
        <v>513.16758925253589</v>
      </c>
      <c r="W10" s="2">
        <f>Summary!AD157</f>
        <v>552.64320406126717</v>
      </c>
      <c r="X10" s="2">
        <f>Summary!AE157</f>
        <v>551.17666379931745</v>
      </c>
      <c r="Y10" s="2">
        <f>Summary!AF157</f>
        <v>549.89113799677466</v>
      </c>
      <c r="Z10" s="108">
        <f>Summary!AG157</f>
        <v>548.28950811801417</v>
      </c>
      <c r="AA10" s="108">
        <f>Summary!AH157</f>
        <v>546.47479238170604</v>
      </c>
      <c r="AB10" s="108">
        <f>Summary!AI157</f>
        <v>544.8501307561628</v>
      </c>
      <c r="AC10" s="108">
        <f>Summary!AJ157</f>
        <v>543.01876746950506</v>
      </c>
      <c r="AD10" s="108">
        <f>Summary!AK157</f>
        <v>541.08403075713431</v>
      </c>
      <c r="AE10" s="108">
        <f>Summary!AL157</f>
        <v>539.24930953062426</v>
      </c>
      <c r="AF10" s="108"/>
    </row>
    <row r="11" spans="2:32" x14ac:dyDescent="0.2">
      <c r="B11" s="3" t="s">
        <v>67</v>
      </c>
    </row>
    <row r="13" spans="2:32" x14ac:dyDescent="0.2">
      <c r="B13" t="s">
        <v>78</v>
      </c>
      <c r="I13" s="383">
        <f t="shared" ref="I13" si="0">I10+H13</f>
        <v>78.679342777878503</v>
      </c>
      <c r="J13" s="383">
        <f t="shared" ref="J13" si="1">J10+I13</f>
        <v>187.35469256016273</v>
      </c>
      <c r="K13" s="383">
        <f t="shared" ref="K13" si="2">K10+J13</f>
        <v>326.52578602400405</v>
      </c>
      <c r="L13" s="383">
        <f t="shared" ref="L13" si="3">L10+K13</f>
        <v>496.90676575724694</v>
      </c>
      <c r="M13" s="383">
        <f t="shared" ref="M13" si="4">M10+L13</f>
        <v>698.62644658680711</v>
      </c>
      <c r="N13" s="383">
        <f t="shared" ref="N13" si="5">N10+M13</f>
        <v>932.32840324794324</v>
      </c>
      <c r="O13" s="383">
        <f t="shared" ref="O13" si="6">O10+N13</f>
        <v>1198.2708339784745</v>
      </c>
      <c r="P13" s="383">
        <f t="shared" ref="P13" si="7">P10+O13</f>
        <v>1496.9261485815916</v>
      </c>
      <c r="Q13" s="383">
        <f t="shared" ref="Q13" si="8">Q10+P13</f>
        <v>1828.5802234892426</v>
      </c>
      <c r="R13" s="383">
        <f t="shared" ref="R13" si="9">R10+Q13</f>
        <v>2193.6312606544698</v>
      </c>
      <c r="S13" s="383">
        <f t="shared" ref="S13" si="10">S10+R13</f>
        <v>2594.4209664860314</v>
      </c>
      <c r="T13" s="383">
        <f t="shared" ref="T13" si="11">T10+S13</f>
        <v>3031.9307035864831</v>
      </c>
      <c r="U13" s="383">
        <f t="shared" ref="U13" si="12">U10+T13</f>
        <v>3506.7598994596792</v>
      </c>
      <c r="V13" s="383">
        <f t="shared" ref="V13" si="13">V10+U13</f>
        <v>4019.9274887122151</v>
      </c>
      <c r="W13" s="383">
        <f t="shared" ref="W13" si="14">W10+V13</f>
        <v>4572.5706927734827</v>
      </c>
      <c r="X13" s="383">
        <f t="shared" ref="X13" si="15">X10+W13</f>
        <v>5123.7473565728005</v>
      </c>
      <c r="Y13" s="383">
        <f t="shared" ref="Y13" si="16">Y10+X13</f>
        <v>5673.6384945695754</v>
      </c>
      <c r="Z13" s="383">
        <f t="shared" ref="Z13" si="17">Z10+Y13</f>
        <v>6221.9280026875895</v>
      </c>
      <c r="AA13" s="383">
        <f t="shared" ref="AA13" si="18">AA10+Z13</f>
        <v>6768.4027950692953</v>
      </c>
      <c r="AB13" s="383">
        <f t="shared" ref="AB13" si="19">AB10+AA13</f>
        <v>7313.2529258254581</v>
      </c>
      <c r="AC13" s="383">
        <f t="shared" ref="AC13" si="20">AC10+AB13</f>
        <v>7856.2716932949634</v>
      </c>
      <c r="AD13" s="383">
        <f t="shared" ref="AD13" si="21">AD10+AC13</f>
        <v>8397.3557240520968</v>
      </c>
      <c r="AE13" s="383">
        <f t="shared" ref="AE13" si="22">AE10+AD13</f>
        <v>8936.6050335827204</v>
      </c>
      <c r="AF13" s="111"/>
    </row>
    <row r="15" spans="2:32" x14ac:dyDescent="0.2">
      <c r="B15" t="s">
        <v>80</v>
      </c>
      <c r="I15" s="2">
        <f>MIN(I10/6,10)</f>
        <v>10</v>
      </c>
      <c r="J15" s="2">
        <f t="shared" ref="J15:AE15" si="23">MIN(J10/6,10)</f>
        <v>10</v>
      </c>
      <c r="K15" s="2">
        <f t="shared" si="23"/>
        <v>10</v>
      </c>
      <c r="L15" s="2">
        <f t="shared" si="23"/>
        <v>10</v>
      </c>
      <c r="M15" s="2">
        <f t="shared" si="23"/>
        <v>10</v>
      </c>
      <c r="N15" s="2">
        <f t="shared" si="23"/>
        <v>10</v>
      </c>
      <c r="O15" s="2">
        <f t="shared" si="23"/>
        <v>10</v>
      </c>
      <c r="P15" s="2">
        <f t="shared" si="23"/>
        <v>10</v>
      </c>
      <c r="Q15" s="2">
        <f t="shared" si="23"/>
        <v>10</v>
      </c>
      <c r="R15" s="2">
        <f t="shared" si="23"/>
        <v>10</v>
      </c>
      <c r="S15" s="2">
        <f t="shared" si="23"/>
        <v>10</v>
      </c>
      <c r="T15" s="2">
        <f t="shared" si="23"/>
        <v>10</v>
      </c>
      <c r="U15" s="2">
        <f t="shared" si="23"/>
        <v>10</v>
      </c>
      <c r="V15" s="2">
        <f t="shared" si="23"/>
        <v>10</v>
      </c>
      <c r="W15" s="2">
        <f t="shared" si="23"/>
        <v>10</v>
      </c>
      <c r="X15" s="2">
        <f t="shared" si="23"/>
        <v>10</v>
      </c>
      <c r="Y15" s="2">
        <f t="shared" si="23"/>
        <v>10</v>
      </c>
      <c r="Z15" s="2">
        <f t="shared" si="23"/>
        <v>10</v>
      </c>
      <c r="AA15" s="2">
        <f t="shared" si="23"/>
        <v>10</v>
      </c>
      <c r="AB15" s="2">
        <f t="shared" si="23"/>
        <v>10</v>
      </c>
      <c r="AC15" s="2">
        <f t="shared" si="23"/>
        <v>10</v>
      </c>
      <c r="AD15" s="2">
        <f t="shared" si="23"/>
        <v>10</v>
      </c>
      <c r="AE15" s="2">
        <f t="shared" si="23"/>
        <v>10</v>
      </c>
    </row>
    <row r="16" spans="2:32" x14ac:dyDescent="0.2">
      <c r="B16" s="110" t="s">
        <v>69</v>
      </c>
    </row>
    <row r="17" spans="2:31" x14ac:dyDescent="0.2">
      <c r="B17" s="11" t="s">
        <v>83</v>
      </c>
      <c r="I17" s="111">
        <f t="shared" ref="I17:AE17" si="24">I15+H17</f>
        <v>10</v>
      </c>
      <c r="J17" s="111">
        <f t="shared" si="24"/>
        <v>20</v>
      </c>
      <c r="K17" s="111">
        <f t="shared" si="24"/>
        <v>30</v>
      </c>
      <c r="L17" s="111">
        <f t="shared" si="24"/>
        <v>40</v>
      </c>
      <c r="M17" s="111">
        <f t="shared" si="24"/>
        <v>50</v>
      </c>
      <c r="N17" s="111">
        <f t="shared" si="24"/>
        <v>60</v>
      </c>
      <c r="O17" s="111">
        <f t="shared" si="24"/>
        <v>70</v>
      </c>
      <c r="P17" s="111">
        <f t="shared" si="24"/>
        <v>80</v>
      </c>
      <c r="Q17" s="111">
        <f t="shared" si="24"/>
        <v>90</v>
      </c>
      <c r="R17" s="111">
        <f t="shared" si="24"/>
        <v>100</v>
      </c>
      <c r="S17" s="111">
        <f t="shared" si="24"/>
        <v>110</v>
      </c>
      <c r="T17" s="111">
        <f t="shared" si="24"/>
        <v>120</v>
      </c>
      <c r="U17" s="111">
        <f t="shared" si="24"/>
        <v>130</v>
      </c>
      <c r="V17" s="111">
        <f t="shared" si="24"/>
        <v>140</v>
      </c>
      <c r="W17" s="111">
        <f t="shared" si="24"/>
        <v>150</v>
      </c>
      <c r="X17" s="111">
        <f t="shared" si="24"/>
        <v>160</v>
      </c>
      <c r="Y17" s="111">
        <f t="shared" si="24"/>
        <v>170</v>
      </c>
      <c r="Z17" s="111">
        <f t="shared" si="24"/>
        <v>180</v>
      </c>
      <c r="AA17" s="111">
        <f t="shared" si="24"/>
        <v>190</v>
      </c>
      <c r="AB17" s="111">
        <f t="shared" si="24"/>
        <v>200</v>
      </c>
      <c r="AC17" s="111">
        <f t="shared" si="24"/>
        <v>210</v>
      </c>
      <c r="AD17" s="111">
        <f t="shared" si="24"/>
        <v>220</v>
      </c>
      <c r="AE17" s="111">
        <f t="shared" si="24"/>
        <v>230</v>
      </c>
    </row>
    <row r="18" spans="2:31" x14ac:dyDescent="0.2">
      <c r="B18" s="110"/>
    </row>
    <row r="19" spans="2:31" x14ac:dyDescent="0.2">
      <c r="B19" t="s">
        <v>70</v>
      </c>
    </row>
    <row r="20" spans="2:31" x14ac:dyDescent="0.2">
      <c r="B20" s="11" t="s">
        <v>72</v>
      </c>
      <c r="C20" s="11"/>
      <c r="D20" s="11"/>
      <c r="E20" s="11"/>
      <c r="F20" s="11"/>
      <c r="G20" s="55">
        <f>1/12</f>
        <v>8.3333333333333329E-2</v>
      </c>
      <c r="H20" s="55"/>
    </row>
    <row r="21" spans="2:31" x14ac:dyDescent="0.2">
      <c r="B21" s="537" t="s">
        <v>71</v>
      </c>
      <c r="C21" s="537"/>
      <c r="D21" s="537"/>
      <c r="E21" s="537"/>
      <c r="F21" s="537"/>
    </row>
    <row r="22" spans="2:31" x14ac:dyDescent="0.2">
      <c r="B22" s="537"/>
      <c r="C22" s="537"/>
      <c r="D22" s="537"/>
      <c r="E22" s="537"/>
      <c r="F22" s="537"/>
      <c r="G22" s="5">
        <f>1/10</f>
        <v>0.1</v>
      </c>
      <c r="H22" s="5"/>
    </row>
    <row r="23" spans="2:31" x14ac:dyDescent="0.2">
      <c r="B23" s="109" t="s">
        <v>73</v>
      </c>
    </row>
    <row r="24" spans="2:31" x14ac:dyDescent="0.2">
      <c r="B24" t="s">
        <v>84</v>
      </c>
      <c r="I24" s="2">
        <f>I10*G20</f>
        <v>6.5566118981565413</v>
      </c>
      <c r="J24" s="2">
        <f t="shared" ref="J24:S24" si="25">$I24*(1-(J9-$I$9)*$G22)</f>
        <v>1325.7469258072529</v>
      </c>
      <c r="K24" s="2">
        <f t="shared" si="25"/>
        <v>5.2452895185252331</v>
      </c>
      <c r="L24" s="2">
        <f t="shared" si="25"/>
        <v>4.5896283287095789</v>
      </c>
      <c r="M24" s="2">
        <f t="shared" si="25"/>
        <v>3.9339671388939248</v>
      </c>
      <c r="N24" s="2">
        <f t="shared" si="25"/>
        <v>3.2783059490782707</v>
      </c>
      <c r="O24" s="2">
        <f t="shared" si="25"/>
        <v>2.6226447592626161</v>
      </c>
      <c r="P24" s="2">
        <f t="shared" si="25"/>
        <v>1.966983569446962</v>
      </c>
      <c r="Q24" s="2">
        <f t="shared" si="25"/>
        <v>1.311322379631308</v>
      </c>
      <c r="R24" s="2">
        <f t="shared" si="25"/>
        <v>0.65566118981565402</v>
      </c>
      <c r="S24" s="2">
        <f t="shared" si="25"/>
        <v>0</v>
      </c>
    </row>
    <row r="25" spans="2:31" x14ac:dyDescent="0.2">
      <c r="B25" s="11" t="s">
        <v>83</v>
      </c>
      <c r="I25" s="18">
        <f t="shared" ref="I25:AE25" si="26">I24+H25</f>
        <v>6.5566118981565413</v>
      </c>
      <c r="J25" s="18">
        <f t="shared" si="26"/>
        <v>1332.3035377054093</v>
      </c>
      <c r="K25" s="18">
        <f t="shared" si="26"/>
        <v>1337.5488272239345</v>
      </c>
      <c r="L25" s="18">
        <f t="shared" si="26"/>
        <v>1342.138455552644</v>
      </c>
      <c r="M25" s="18">
        <f t="shared" si="26"/>
        <v>1346.0724226915379</v>
      </c>
      <c r="N25" s="18">
        <f t="shared" si="26"/>
        <v>1349.3507286406161</v>
      </c>
      <c r="O25" s="18">
        <f t="shared" si="26"/>
        <v>1351.9733733998787</v>
      </c>
      <c r="P25" s="18">
        <f t="shared" si="26"/>
        <v>1353.9403569693256</v>
      </c>
      <c r="Q25" s="18">
        <f t="shared" si="26"/>
        <v>1355.2516793489569</v>
      </c>
      <c r="R25" s="18">
        <f t="shared" si="26"/>
        <v>1355.9073405387726</v>
      </c>
      <c r="S25" s="18">
        <f t="shared" si="26"/>
        <v>1355.9073405387726</v>
      </c>
      <c r="T25" s="18">
        <f t="shared" si="26"/>
        <v>1355.9073405387726</v>
      </c>
      <c r="U25" s="18">
        <f t="shared" si="26"/>
        <v>1355.9073405387726</v>
      </c>
      <c r="V25" s="18">
        <f t="shared" si="26"/>
        <v>1355.9073405387726</v>
      </c>
      <c r="W25" s="18">
        <f t="shared" si="26"/>
        <v>1355.9073405387726</v>
      </c>
      <c r="X25" s="18">
        <f t="shared" si="26"/>
        <v>1355.9073405387726</v>
      </c>
      <c r="Y25" s="18">
        <f t="shared" si="26"/>
        <v>1355.9073405387726</v>
      </c>
      <c r="Z25" s="18">
        <f t="shared" si="26"/>
        <v>1355.9073405387726</v>
      </c>
      <c r="AA25" s="18">
        <f t="shared" si="26"/>
        <v>1355.9073405387726</v>
      </c>
      <c r="AB25" s="18">
        <f t="shared" si="26"/>
        <v>1355.9073405387726</v>
      </c>
      <c r="AC25" s="18">
        <f t="shared" si="26"/>
        <v>1355.9073405387726</v>
      </c>
      <c r="AD25" s="18">
        <f t="shared" si="26"/>
        <v>1355.9073405387726</v>
      </c>
      <c r="AE25" s="18">
        <f t="shared" si="26"/>
        <v>1355.9073405387726</v>
      </c>
    </row>
    <row r="27" spans="2:31" x14ac:dyDescent="0.2">
      <c r="B27" s="539" t="s">
        <v>74</v>
      </c>
      <c r="C27" s="539"/>
      <c r="D27" s="539"/>
      <c r="E27" s="539"/>
      <c r="F27" s="539"/>
      <c r="I27" s="18">
        <f t="shared" ref="I27:AE27" si="27">I10-I15-I24</f>
        <v>62.122730879721964</v>
      </c>
      <c r="J27" s="18">
        <f t="shared" si="27"/>
        <v>-1227.0715760249686</v>
      </c>
      <c r="K27" s="18">
        <f t="shared" si="27"/>
        <v>123.92580394531609</v>
      </c>
      <c r="L27" s="18">
        <f t="shared" si="27"/>
        <v>155.79135140453332</v>
      </c>
      <c r="M27" s="18">
        <f t="shared" si="27"/>
        <v>187.78571369066617</v>
      </c>
      <c r="N27" s="18">
        <f t="shared" si="27"/>
        <v>220.42365071205782</v>
      </c>
      <c r="O27" s="18">
        <f t="shared" si="27"/>
        <v>253.31978597126849</v>
      </c>
      <c r="P27" s="18">
        <f t="shared" si="27"/>
        <v>286.68833103367029</v>
      </c>
      <c r="Q27" s="18">
        <f t="shared" si="27"/>
        <v>320.34275252801967</v>
      </c>
      <c r="R27" s="18">
        <f t="shared" si="27"/>
        <v>354.39537597541175</v>
      </c>
      <c r="S27" s="18">
        <f t="shared" si="27"/>
        <v>390.78970583156161</v>
      </c>
      <c r="T27" s="18">
        <f t="shared" si="27"/>
        <v>427.50973710045162</v>
      </c>
      <c r="U27" s="18">
        <f t="shared" si="27"/>
        <v>464.82919587319617</v>
      </c>
      <c r="V27" s="18">
        <f t="shared" si="27"/>
        <v>503.16758925253589</v>
      </c>
      <c r="W27" s="18">
        <f t="shared" si="27"/>
        <v>542.64320406126717</v>
      </c>
      <c r="X27" s="18">
        <f t="shared" si="27"/>
        <v>541.17666379931745</v>
      </c>
      <c r="Y27" s="18">
        <f t="shared" si="27"/>
        <v>539.89113799677466</v>
      </c>
      <c r="Z27" s="108">
        <f t="shared" si="27"/>
        <v>538.28950811801417</v>
      </c>
      <c r="AA27" s="108">
        <f t="shared" si="27"/>
        <v>536.47479238170604</v>
      </c>
      <c r="AB27" s="108">
        <f t="shared" si="27"/>
        <v>534.8501307561628</v>
      </c>
      <c r="AC27" s="108">
        <f t="shared" si="27"/>
        <v>533.01876746950506</v>
      </c>
      <c r="AD27" s="108">
        <f t="shared" si="27"/>
        <v>531.08403075713431</v>
      </c>
      <c r="AE27" s="108">
        <f t="shared" si="27"/>
        <v>529.24930953062426</v>
      </c>
    </row>
    <row r="28" spans="2:31" x14ac:dyDescent="0.2">
      <c r="B28" s="539"/>
      <c r="C28" s="539"/>
      <c r="D28" s="539"/>
      <c r="E28" s="539"/>
      <c r="F28" s="539"/>
    </row>
    <row r="30" spans="2:31" x14ac:dyDescent="0.2">
      <c r="B30" t="s">
        <v>79</v>
      </c>
      <c r="I30" s="111">
        <f t="shared" ref="I30:AE30" si="28">I27+H30</f>
        <v>62.122730879721964</v>
      </c>
      <c r="J30" s="111">
        <f t="shared" si="28"/>
        <v>-1164.9488451452467</v>
      </c>
      <c r="K30" s="111">
        <f t="shared" si="28"/>
        <v>-1041.0230411999305</v>
      </c>
      <c r="L30" s="111">
        <f t="shared" si="28"/>
        <v>-885.23168979539719</v>
      </c>
      <c r="M30" s="111">
        <f t="shared" si="28"/>
        <v>-697.44597610473102</v>
      </c>
      <c r="N30" s="111">
        <f t="shared" si="28"/>
        <v>-477.02232539267322</v>
      </c>
      <c r="O30" s="111">
        <f t="shared" si="28"/>
        <v>-223.70253942140474</v>
      </c>
      <c r="P30" s="111">
        <f t="shared" si="28"/>
        <v>62.985791612265558</v>
      </c>
      <c r="Q30" s="111">
        <f t="shared" si="28"/>
        <v>383.3285441402852</v>
      </c>
      <c r="R30" s="111">
        <f t="shared" si="28"/>
        <v>737.72392011569696</v>
      </c>
      <c r="S30" s="111">
        <f t="shared" si="28"/>
        <v>1128.5136259472586</v>
      </c>
      <c r="T30" s="111">
        <f t="shared" si="28"/>
        <v>1556.0233630477101</v>
      </c>
      <c r="U30" s="111">
        <f t="shared" si="28"/>
        <v>2020.8525589209062</v>
      </c>
      <c r="V30" s="111">
        <f t="shared" si="28"/>
        <v>2524.0201481734421</v>
      </c>
      <c r="W30" s="111">
        <f t="shared" si="28"/>
        <v>3066.6633522347092</v>
      </c>
      <c r="X30" s="111">
        <f t="shared" si="28"/>
        <v>3607.8400160340266</v>
      </c>
      <c r="Y30" s="111">
        <f t="shared" si="28"/>
        <v>4147.731154030801</v>
      </c>
      <c r="Z30" s="111">
        <f t="shared" si="28"/>
        <v>4686.0206621488151</v>
      </c>
      <c r="AA30" s="111">
        <f t="shared" si="28"/>
        <v>5222.4954545305209</v>
      </c>
      <c r="AB30" s="111">
        <f t="shared" si="28"/>
        <v>5757.3455852866837</v>
      </c>
      <c r="AC30" s="111">
        <f t="shared" si="28"/>
        <v>6290.364352756189</v>
      </c>
      <c r="AD30" s="111">
        <f t="shared" si="28"/>
        <v>6821.4483835133233</v>
      </c>
      <c r="AE30" s="111">
        <f t="shared" si="28"/>
        <v>7350.6976930439478</v>
      </c>
    </row>
    <row r="32" spans="2:31" x14ac:dyDescent="0.2">
      <c r="B32" t="s">
        <v>75</v>
      </c>
    </row>
    <row r="33" spans="2:32" x14ac:dyDescent="0.2">
      <c r="B33" s="11" t="s">
        <v>76</v>
      </c>
      <c r="I33" s="16">
        <f t="shared" ref="I33:AE33" si="29">I27/I10</f>
        <v>0.7895685028165792</v>
      </c>
      <c r="J33" s="16">
        <f t="shared" si="29"/>
        <v>-11.291167486308845</v>
      </c>
      <c r="K33" s="16">
        <f t="shared" si="29"/>
        <v>0.890456493952272</v>
      </c>
      <c r="L33" s="16">
        <f t="shared" si="29"/>
        <v>0.91437055737352935</v>
      </c>
      <c r="M33" s="16">
        <f t="shared" si="29"/>
        <v>0.93092410675254234</v>
      </c>
      <c r="N33" s="16">
        <f t="shared" si="29"/>
        <v>0.94318273522916374</v>
      </c>
      <c r="O33" s="16">
        <f t="shared" si="29"/>
        <v>0.9525361758761518</v>
      </c>
      <c r="P33" s="16">
        <f t="shared" si="29"/>
        <v>0.95993045164674251</v>
      </c>
      <c r="Q33" s="16">
        <f t="shared" si="29"/>
        <v>0.96589421558356869</v>
      </c>
      <c r="R33" s="16">
        <f t="shared" si="29"/>
        <v>0.97081048920567037</v>
      </c>
      <c r="S33" s="16">
        <f t="shared" si="29"/>
        <v>0.9750492593634561</v>
      </c>
      <c r="T33" s="16">
        <f t="shared" si="29"/>
        <v>0.97714336584535488</v>
      </c>
      <c r="U33" s="16">
        <f t="shared" si="29"/>
        <v>0.97893979543189147</v>
      </c>
      <c r="V33" s="16">
        <f t="shared" si="29"/>
        <v>0.98051318865525838</v>
      </c>
      <c r="W33" s="16">
        <f t="shared" si="29"/>
        <v>0.98190514254674277</v>
      </c>
      <c r="X33" s="16">
        <f t="shared" si="29"/>
        <v>0.981856996754781</v>
      </c>
      <c r="Y33" s="16">
        <f t="shared" si="29"/>
        <v>0.98181458236182984</v>
      </c>
      <c r="Z33" s="16">
        <f t="shared" si="29"/>
        <v>0.98176146022869437</v>
      </c>
      <c r="AA33" s="16">
        <f t="shared" si="29"/>
        <v>0.98170089427836749</v>
      </c>
      <c r="AB33" s="16">
        <f t="shared" si="29"/>
        <v>0.98164632908113347</v>
      </c>
      <c r="AC33" s="16">
        <f t="shared" si="29"/>
        <v>0.98158443022770558</v>
      </c>
      <c r="AD33" s="16">
        <f t="shared" si="29"/>
        <v>0.98151858226899236</v>
      </c>
      <c r="AE33" s="16">
        <f t="shared" si="29"/>
        <v>0.98145570180014841</v>
      </c>
      <c r="AF33" s="6"/>
    </row>
    <row r="34" spans="2:32" x14ac:dyDescent="0.2">
      <c r="B34" s="11" t="s">
        <v>77</v>
      </c>
      <c r="I34" s="16">
        <f t="shared" ref="I34:AE34" si="30">I30/I13</f>
        <v>0.7895685028165792</v>
      </c>
      <c r="J34" s="16">
        <f t="shared" si="30"/>
        <v>-6.217879196012996</v>
      </c>
      <c r="K34" s="16">
        <f t="shared" si="30"/>
        <v>-3.1881801859391321</v>
      </c>
      <c r="L34" s="16">
        <f t="shared" si="30"/>
        <v>-1.7814844771662015</v>
      </c>
      <c r="M34" s="16">
        <f t="shared" si="30"/>
        <v>-0.99831029803145388</v>
      </c>
      <c r="N34" s="16">
        <f t="shared" si="30"/>
        <v>-0.51164624367430533</v>
      </c>
      <c r="O34" s="16">
        <f t="shared" si="30"/>
        <v>-0.18668779467716168</v>
      </c>
      <c r="P34" s="16">
        <f t="shared" si="30"/>
        <v>4.2076752865829473E-2</v>
      </c>
      <c r="Q34" s="16">
        <f t="shared" si="30"/>
        <v>0.20963178930636636</v>
      </c>
      <c r="R34" s="16">
        <f t="shared" si="30"/>
        <v>0.3363026108114438</v>
      </c>
      <c r="S34" s="16">
        <f t="shared" si="30"/>
        <v>0.43497706830351218</v>
      </c>
      <c r="T34" s="16">
        <f t="shared" si="30"/>
        <v>0.51321204709826773</v>
      </c>
      <c r="U34" s="16">
        <f t="shared" si="30"/>
        <v>0.57627343099032202</v>
      </c>
      <c r="V34" s="16">
        <f t="shared" si="30"/>
        <v>0.62787703391685123</v>
      </c>
      <c r="W34" s="16">
        <f t="shared" si="30"/>
        <v>0.67066504998627618</v>
      </c>
      <c r="X34" s="16">
        <f t="shared" si="30"/>
        <v>0.70414088848581669</v>
      </c>
      <c r="Y34" s="16">
        <f t="shared" si="30"/>
        <v>0.73105312543277645</v>
      </c>
      <c r="Z34" s="16">
        <f t="shared" si="30"/>
        <v>0.75314607628450014</v>
      </c>
      <c r="AA34" s="16">
        <f t="shared" si="30"/>
        <v>0.77159938801736938</v>
      </c>
      <c r="AB34" s="16">
        <f t="shared" si="30"/>
        <v>0.78724825240976382</v>
      </c>
      <c r="AC34" s="16">
        <f t="shared" si="30"/>
        <v>0.8006806024955555</v>
      </c>
      <c r="AD34" s="16">
        <f t="shared" si="30"/>
        <v>0.81233290665238977</v>
      </c>
      <c r="AE34" s="16">
        <f t="shared" si="30"/>
        <v>0.82253805168975047</v>
      </c>
    </row>
    <row r="35" spans="2:32" x14ac:dyDescent="0.2">
      <c r="I35" s="17"/>
      <c r="J35" s="17"/>
      <c r="K35" s="17"/>
      <c r="L35" s="17"/>
      <c r="M35" s="17"/>
      <c r="N35" s="17"/>
      <c r="O35" s="17"/>
      <c r="P35" s="17"/>
      <c r="Q35" s="17"/>
      <c r="R35" s="17"/>
      <c r="S35" s="17"/>
      <c r="T35" s="17"/>
      <c r="U35" s="17"/>
      <c r="V35" s="17"/>
      <c r="W35" s="17"/>
      <c r="X35" s="17"/>
      <c r="Y35" s="17"/>
      <c r="Z35" s="17"/>
      <c r="AA35" s="17"/>
      <c r="AB35" s="17"/>
      <c r="AC35" s="17"/>
      <c r="AD35" s="17"/>
      <c r="AE35" s="17"/>
    </row>
    <row r="36" spans="2:32" x14ac:dyDescent="0.2">
      <c r="B36" t="s">
        <v>81</v>
      </c>
      <c r="I36" s="17"/>
      <c r="J36" s="17"/>
      <c r="K36" s="17"/>
      <c r="L36" s="17"/>
      <c r="M36" s="17"/>
      <c r="N36" s="17"/>
      <c r="O36" s="17"/>
      <c r="P36" s="17"/>
      <c r="Q36" s="17"/>
      <c r="R36" s="17"/>
      <c r="S36" s="17"/>
      <c r="T36" s="17"/>
      <c r="U36" s="17"/>
      <c r="V36" s="17"/>
      <c r="W36" s="17"/>
      <c r="X36" s="17"/>
      <c r="Y36" s="17"/>
      <c r="Z36" s="17"/>
      <c r="AA36" s="17"/>
      <c r="AB36" s="17"/>
      <c r="AC36" s="17"/>
      <c r="AD36" s="17"/>
      <c r="AE36" s="17"/>
    </row>
    <row r="37" spans="2:32" x14ac:dyDescent="0.2">
      <c r="B37" s="11" t="s">
        <v>76</v>
      </c>
      <c r="I37" s="16">
        <f t="shared" ref="I37:AE37" si="31">I15/I10</f>
        <v>0.12709816385008749</v>
      </c>
      <c r="J37" s="16">
        <f t="shared" si="31"/>
        <v>9.2017187154525795E-2</v>
      </c>
      <c r="K37" s="16">
        <f t="shared" si="31"/>
        <v>7.1854001798140263E-2</v>
      </c>
      <c r="L37" s="16">
        <f t="shared" si="31"/>
        <v>5.8691997285474633E-2</v>
      </c>
      <c r="M37" s="16">
        <f t="shared" si="31"/>
        <v>4.9573744906176727E-2</v>
      </c>
      <c r="N37" s="16">
        <f t="shared" si="31"/>
        <v>4.2789543326330948E-2</v>
      </c>
      <c r="O37" s="16">
        <f t="shared" si="31"/>
        <v>3.7602123032907837E-2</v>
      </c>
      <c r="P37" s="16">
        <f t="shared" si="31"/>
        <v>3.3483415533016682E-2</v>
      </c>
      <c r="Q37" s="16">
        <f t="shared" si="31"/>
        <v>3.0151898488762721E-2</v>
      </c>
      <c r="R37" s="16">
        <f t="shared" si="31"/>
        <v>2.739342990956592E-2</v>
      </c>
      <c r="S37" s="16">
        <f t="shared" si="31"/>
        <v>2.4950740636543851E-2</v>
      </c>
      <c r="T37" s="16">
        <f t="shared" si="31"/>
        <v>2.2856634154645145E-2</v>
      </c>
      <c r="U37" s="16">
        <f t="shared" si="31"/>
        <v>2.1060204568108559E-2</v>
      </c>
      <c r="V37" s="16">
        <f t="shared" si="31"/>
        <v>1.9486811344741572E-2</v>
      </c>
      <c r="W37" s="16">
        <f t="shared" si="31"/>
        <v>1.8094857453257271E-2</v>
      </c>
      <c r="X37" s="16">
        <f t="shared" si="31"/>
        <v>1.8143003245219003E-2</v>
      </c>
      <c r="Y37" s="16">
        <f t="shared" si="31"/>
        <v>1.8185417638170148E-2</v>
      </c>
      <c r="Z37" s="16">
        <f t="shared" si="31"/>
        <v>1.8238539771305625E-2</v>
      </c>
      <c r="AA37" s="16">
        <f t="shared" si="31"/>
        <v>1.8299105721632482E-2</v>
      </c>
      <c r="AB37" s="16">
        <f t="shared" si="31"/>
        <v>1.835367091886651E-2</v>
      </c>
      <c r="AC37" s="16">
        <f t="shared" si="31"/>
        <v>1.841556977229444E-2</v>
      </c>
      <c r="AD37" s="16">
        <f t="shared" si="31"/>
        <v>1.8481417731007668E-2</v>
      </c>
      <c r="AE37" s="16">
        <f t="shared" si="31"/>
        <v>1.854429819985165E-2</v>
      </c>
      <c r="AF37" s="6"/>
    </row>
    <row r="38" spans="2:32" x14ac:dyDescent="0.2">
      <c r="B38" s="11" t="s">
        <v>77</v>
      </c>
      <c r="I38" s="16">
        <f t="shared" ref="I38:AE38" si="32">I17/I13</f>
        <v>0.12709816385008749</v>
      </c>
      <c r="J38" s="16">
        <f t="shared" si="32"/>
        <v>0.10674939456655277</v>
      </c>
      <c r="K38" s="16">
        <f t="shared" si="32"/>
        <v>9.187635796027023E-2</v>
      </c>
      <c r="L38" s="16">
        <f t="shared" si="32"/>
        <v>8.0497998329813719E-2</v>
      </c>
      <c r="M38" s="16">
        <f t="shared" si="32"/>
        <v>7.1569005502552643E-2</v>
      </c>
      <c r="N38" s="16">
        <f t="shared" si="32"/>
        <v>6.4355006016097546E-2</v>
      </c>
      <c r="O38" s="16">
        <f t="shared" si="32"/>
        <v>5.8417511313020469E-2</v>
      </c>
      <c r="P38" s="16">
        <f t="shared" si="32"/>
        <v>5.344285025403811E-2</v>
      </c>
      <c r="Q38" s="16">
        <f t="shared" si="32"/>
        <v>4.9218513272698897E-2</v>
      </c>
      <c r="R38" s="16">
        <f t="shared" si="32"/>
        <v>4.5586513008647134E-2</v>
      </c>
      <c r="S38" s="16">
        <f t="shared" si="32"/>
        <v>4.239867061704624E-2</v>
      </c>
      <c r="T38" s="16">
        <f t="shared" si="32"/>
        <v>3.9578740984433293E-2</v>
      </c>
      <c r="U38" s="16">
        <f t="shared" si="32"/>
        <v>3.7071257721416964E-2</v>
      </c>
      <c r="V38" s="16">
        <f t="shared" si="32"/>
        <v>3.4826498834397888E-2</v>
      </c>
      <c r="W38" s="16">
        <f t="shared" si="32"/>
        <v>3.2804304203992052E-2</v>
      </c>
      <c r="X38" s="16">
        <f t="shared" si="32"/>
        <v>3.1227144678542786E-2</v>
      </c>
      <c r="Y38" s="16">
        <f t="shared" si="32"/>
        <v>2.9963135677874533E-2</v>
      </c>
      <c r="Z38" s="16">
        <f t="shared" si="32"/>
        <v>2.892993938892385E-2</v>
      </c>
      <c r="AA38" s="16">
        <f t="shared" si="32"/>
        <v>2.8071615379984899E-2</v>
      </c>
      <c r="AB38" s="16">
        <f t="shared" si="32"/>
        <v>2.7347611525062317E-2</v>
      </c>
      <c r="AC38" s="16">
        <f t="shared" si="32"/>
        <v>2.6730236452900073E-2</v>
      </c>
      <c r="AD38" s="16">
        <f t="shared" si="32"/>
        <v>2.6198723411212148E-2</v>
      </c>
      <c r="AE38" s="16">
        <f t="shared" si="32"/>
        <v>2.5736842921409955E-2</v>
      </c>
      <c r="AF38" s="6"/>
    </row>
    <row r="39" spans="2:32" x14ac:dyDescent="0.2">
      <c r="I39" s="16"/>
      <c r="J39" s="16"/>
      <c r="K39" s="16"/>
      <c r="L39" s="16"/>
      <c r="M39" s="16"/>
      <c r="N39" s="16"/>
      <c r="O39" s="16"/>
      <c r="P39" s="16"/>
      <c r="Q39" s="16"/>
      <c r="R39" s="16"/>
      <c r="S39" s="16"/>
      <c r="T39" s="16"/>
      <c r="U39" s="16"/>
      <c r="V39" s="16"/>
      <c r="W39" s="16"/>
      <c r="X39" s="16"/>
      <c r="Y39" s="16"/>
      <c r="Z39" s="16"/>
      <c r="AA39" s="16"/>
      <c r="AB39" s="16"/>
      <c r="AC39" s="16"/>
      <c r="AD39" s="16"/>
      <c r="AE39" s="16"/>
      <c r="AF39" s="6"/>
    </row>
    <row r="40" spans="2:32" x14ac:dyDescent="0.2">
      <c r="B40" t="s">
        <v>82</v>
      </c>
      <c r="I40" s="16"/>
      <c r="J40" s="16"/>
      <c r="K40" s="16"/>
      <c r="L40" s="16"/>
      <c r="M40" s="16"/>
      <c r="N40" s="16"/>
      <c r="O40" s="16"/>
      <c r="P40" s="16"/>
      <c r="Q40" s="16"/>
      <c r="R40" s="16"/>
      <c r="S40" s="16"/>
      <c r="T40" s="16"/>
      <c r="U40" s="16"/>
      <c r="V40" s="16"/>
      <c r="W40" s="16"/>
      <c r="X40" s="16"/>
      <c r="Y40" s="16"/>
      <c r="Z40" s="16"/>
      <c r="AA40" s="16"/>
      <c r="AB40" s="16"/>
      <c r="AC40" s="16"/>
      <c r="AD40" s="16"/>
      <c r="AE40" s="16"/>
      <c r="AF40" s="6"/>
    </row>
    <row r="41" spans="2:32" x14ac:dyDescent="0.2">
      <c r="B41" s="11" t="s">
        <v>76</v>
      </c>
      <c r="I41" s="16">
        <f t="shared" ref="I41:AE41" si="33">I24/I10</f>
        <v>8.3333333333333329E-2</v>
      </c>
      <c r="J41" s="16">
        <f t="shared" si="33"/>
        <v>12.19915029915432</v>
      </c>
      <c r="K41" s="16">
        <f t="shared" si="33"/>
        <v>3.7689504249587835E-2</v>
      </c>
      <c r="L41" s="16">
        <f t="shared" si="33"/>
        <v>2.6937445340996007E-2</v>
      </c>
      <c r="M41" s="16">
        <f t="shared" si="33"/>
        <v>1.9502148341280934E-2</v>
      </c>
      <c r="N41" s="16">
        <f t="shared" si="33"/>
        <v>1.4027721444505316E-2</v>
      </c>
      <c r="O41" s="16">
        <f t="shared" si="33"/>
        <v>9.8617010909403842E-3</v>
      </c>
      <c r="P41" s="16">
        <f t="shared" si="33"/>
        <v>6.586132820240901E-3</v>
      </c>
      <c r="Q41" s="16">
        <f t="shared" si="33"/>
        <v>3.9538859276685972E-3</v>
      </c>
      <c r="R41" s="16">
        <f t="shared" si="33"/>
        <v>1.7960808847637714E-3</v>
      </c>
      <c r="S41" s="16">
        <f t="shared" si="33"/>
        <v>0</v>
      </c>
      <c r="T41" s="16">
        <f t="shared" si="33"/>
        <v>0</v>
      </c>
      <c r="U41" s="16">
        <f t="shared" si="33"/>
        <v>0</v>
      </c>
      <c r="V41" s="16">
        <f t="shared" si="33"/>
        <v>0</v>
      </c>
      <c r="W41" s="16">
        <f t="shared" si="33"/>
        <v>0</v>
      </c>
      <c r="X41" s="16">
        <f t="shared" si="33"/>
        <v>0</v>
      </c>
      <c r="Y41" s="16">
        <f t="shared" si="33"/>
        <v>0</v>
      </c>
      <c r="Z41" s="16">
        <f t="shared" si="33"/>
        <v>0</v>
      </c>
      <c r="AA41" s="16">
        <f t="shared" si="33"/>
        <v>0</v>
      </c>
      <c r="AB41" s="16">
        <f t="shared" si="33"/>
        <v>0</v>
      </c>
      <c r="AC41" s="16">
        <f t="shared" si="33"/>
        <v>0</v>
      </c>
      <c r="AD41" s="16">
        <f t="shared" si="33"/>
        <v>0</v>
      </c>
      <c r="AE41" s="16">
        <f t="shared" si="33"/>
        <v>0</v>
      </c>
      <c r="AF41" s="6"/>
    </row>
    <row r="42" spans="2:32" x14ac:dyDescent="0.2">
      <c r="B42" s="11" t="s">
        <v>77</v>
      </c>
      <c r="I42" s="16">
        <f t="shared" ref="I42:AE42" si="34">I25/I13</f>
        <v>8.3333333333333329E-2</v>
      </c>
      <c r="J42" s="16">
        <f t="shared" si="34"/>
        <v>7.1111298014464426</v>
      </c>
      <c r="K42" s="16">
        <f t="shared" si="34"/>
        <v>4.0963038279788622</v>
      </c>
      <c r="L42" s="16">
        <f t="shared" si="34"/>
        <v>2.7009864788363873</v>
      </c>
      <c r="M42" s="16">
        <f t="shared" si="34"/>
        <v>1.9267412925289009</v>
      </c>
      <c r="N42" s="16">
        <f t="shared" si="34"/>
        <v>1.4472912376582074</v>
      </c>
      <c r="O42" s="16">
        <f t="shared" si="34"/>
        <v>1.1282702833641409</v>
      </c>
      <c r="P42" s="16">
        <f t="shared" si="34"/>
        <v>0.90448039688013215</v>
      </c>
      <c r="Q42" s="16">
        <f t="shared" si="34"/>
        <v>0.74114969742093451</v>
      </c>
      <c r="R42" s="16">
        <f t="shared" si="34"/>
        <v>0.61811087617990901</v>
      </c>
      <c r="S42" s="16">
        <f t="shared" si="34"/>
        <v>0.52262426107944149</v>
      </c>
      <c r="T42" s="16">
        <f t="shared" si="34"/>
        <v>0.44720921191729884</v>
      </c>
      <c r="U42" s="16">
        <f t="shared" si="34"/>
        <v>0.38665531128826086</v>
      </c>
      <c r="V42" s="16">
        <f t="shared" si="34"/>
        <v>0.33729646724875079</v>
      </c>
      <c r="W42" s="16">
        <f t="shared" si="34"/>
        <v>0.2965306458097316</v>
      </c>
      <c r="X42" s="16">
        <f t="shared" si="34"/>
        <v>0.26463196683564022</v>
      </c>
      <c r="Y42" s="16">
        <f t="shared" si="34"/>
        <v>0.23898373888934865</v>
      </c>
      <c r="Z42" s="16">
        <f t="shared" si="34"/>
        <v>0.21792398432657567</v>
      </c>
      <c r="AA42" s="16">
        <f t="shared" si="34"/>
        <v>0.20032899660264541</v>
      </c>
      <c r="AB42" s="16">
        <f t="shared" si="34"/>
        <v>0.18540413606517367</v>
      </c>
      <c r="AC42" s="16">
        <f t="shared" si="34"/>
        <v>0.17258916105154423</v>
      </c>
      <c r="AD42" s="16">
        <f t="shared" si="34"/>
        <v>0.16146836993639793</v>
      </c>
      <c r="AE42" s="16">
        <f t="shared" si="34"/>
        <v>0.1517251053888396</v>
      </c>
      <c r="AF42" s="6"/>
    </row>
    <row r="43" spans="2:32" x14ac:dyDescent="0.2">
      <c r="I43" s="17"/>
      <c r="J43" s="17"/>
      <c r="K43" s="17"/>
      <c r="L43" s="17"/>
      <c r="M43" s="17"/>
      <c r="N43" s="17"/>
      <c r="O43" s="17"/>
      <c r="P43" s="17"/>
      <c r="Q43" s="17"/>
      <c r="R43" s="17"/>
      <c r="S43" s="17"/>
      <c r="T43" s="17"/>
      <c r="U43" s="17"/>
      <c r="V43" s="17"/>
      <c r="W43" s="17"/>
      <c r="X43" s="17"/>
      <c r="Y43" s="17"/>
      <c r="Z43" s="17"/>
      <c r="AA43" s="17"/>
      <c r="AB43" s="17"/>
      <c r="AC43" s="17"/>
      <c r="AD43" s="17"/>
      <c r="AE43" s="17"/>
    </row>
    <row r="44" spans="2:32" x14ac:dyDescent="0.2">
      <c r="I44" s="17">
        <f t="shared" ref="I44:AE44" si="35">I33+I37+I41</f>
        <v>1</v>
      </c>
      <c r="J44" s="17">
        <f t="shared" si="35"/>
        <v>1</v>
      </c>
      <c r="K44" s="17">
        <f t="shared" si="35"/>
        <v>1</v>
      </c>
      <c r="L44" s="17">
        <f t="shared" si="35"/>
        <v>0.99999999999999989</v>
      </c>
      <c r="M44" s="17">
        <f t="shared" si="35"/>
        <v>1</v>
      </c>
      <c r="N44" s="17">
        <f t="shared" si="35"/>
        <v>1</v>
      </c>
      <c r="O44" s="17">
        <f t="shared" si="35"/>
        <v>1</v>
      </c>
      <c r="P44" s="17">
        <f t="shared" si="35"/>
        <v>1.0000000000000002</v>
      </c>
      <c r="Q44" s="17">
        <f t="shared" si="35"/>
        <v>1</v>
      </c>
      <c r="R44" s="17">
        <f t="shared" si="35"/>
        <v>1</v>
      </c>
      <c r="S44" s="17">
        <f t="shared" si="35"/>
        <v>1</v>
      </c>
      <c r="T44" s="17">
        <f t="shared" si="35"/>
        <v>1</v>
      </c>
      <c r="U44" s="17">
        <f t="shared" si="35"/>
        <v>1</v>
      </c>
      <c r="V44" s="17">
        <f t="shared" si="35"/>
        <v>1</v>
      </c>
      <c r="W44" s="17">
        <f t="shared" si="35"/>
        <v>1</v>
      </c>
      <c r="X44" s="17">
        <f t="shared" si="35"/>
        <v>1</v>
      </c>
      <c r="Y44" s="17">
        <f t="shared" si="35"/>
        <v>1</v>
      </c>
      <c r="Z44" s="17">
        <f t="shared" si="35"/>
        <v>1</v>
      </c>
      <c r="AA44" s="17">
        <f t="shared" si="35"/>
        <v>1</v>
      </c>
      <c r="AB44" s="17">
        <f t="shared" si="35"/>
        <v>1</v>
      </c>
      <c r="AC44" s="17">
        <f t="shared" si="35"/>
        <v>1</v>
      </c>
      <c r="AD44" s="17">
        <f t="shared" si="35"/>
        <v>1</v>
      </c>
      <c r="AE44" s="17">
        <f t="shared" si="35"/>
        <v>1</v>
      </c>
    </row>
    <row r="45" spans="2:32" x14ac:dyDescent="0.2">
      <c r="I45" s="17">
        <f t="shared" ref="I45:AE45" si="36">I34+I38+I42</f>
        <v>1</v>
      </c>
      <c r="J45" s="17">
        <f t="shared" si="36"/>
        <v>0.99999999999999911</v>
      </c>
      <c r="K45" s="17">
        <f t="shared" si="36"/>
        <v>1.0000000000000004</v>
      </c>
      <c r="L45" s="17">
        <f t="shared" si="36"/>
        <v>0.99999999999999956</v>
      </c>
      <c r="M45" s="17">
        <f t="shared" si="36"/>
        <v>0.99999999999999967</v>
      </c>
      <c r="N45" s="17">
        <f t="shared" si="36"/>
        <v>0.99999999999999967</v>
      </c>
      <c r="O45" s="17">
        <f t="shared" si="36"/>
        <v>0.99999999999999978</v>
      </c>
      <c r="P45" s="17">
        <f t="shared" si="36"/>
        <v>0.99999999999999978</v>
      </c>
      <c r="Q45" s="17">
        <f t="shared" si="36"/>
        <v>0.99999999999999978</v>
      </c>
      <c r="R45" s="17">
        <f t="shared" si="36"/>
        <v>1</v>
      </c>
      <c r="S45" s="17">
        <f t="shared" si="36"/>
        <v>0.99999999999999989</v>
      </c>
      <c r="T45" s="17">
        <f t="shared" si="36"/>
        <v>0.99999999999999978</v>
      </c>
      <c r="U45" s="17">
        <f t="shared" si="36"/>
        <v>0.99999999999999978</v>
      </c>
      <c r="V45" s="17">
        <f t="shared" si="36"/>
        <v>1</v>
      </c>
      <c r="W45" s="17">
        <f t="shared" si="36"/>
        <v>0.99999999999999978</v>
      </c>
      <c r="X45" s="17">
        <f t="shared" si="36"/>
        <v>0.99999999999999978</v>
      </c>
      <c r="Y45" s="17">
        <f t="shared" si="36"/>
        <v>0.99999999999999967</v>
      </c>
      <c r="Z45" s="17">
        <f t="shared" si="36"/>
        <v>0.99999999999999967</v>
      </c>
      <c r="AA45" s="17">
        <f t="shared" si="36"/>
        <v>0.99999999999999978</v>
      </c>
      <c r="AB45" s="17">
        <f t="shared" si="36"/>
        <v>0.99999999999999978</v>
      </c>
      <c r="AC45" s="17">
        <f t="shared" si="36"/>
        <v>0.99999999999999978</v>
      </c>
      <c r="AD45" s="17">
        <f t="shared" si="36"/>
        <v>0.99999999999999978</v>
      </c>
      <c r="AE45" s="17">
        <f t="shared" si="36"/>
        <v>1</v>
      </c>
    </row>
  </sheetData>
  <mergeCells count="2">
    <mergeCell ref="B21:F22"/>
    <mergeCell ref="B27:F28"/>
  </mergeCells>
  <phoneticPr fontId="3" type="noConversion"/>
  <pageMargins left="0.75" right="0.75" top="1" bottom="1" header="0.5" footer="0.5"/>
  <pageSetup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45"/>
  <sheetViews>
    <sheetView workbookViewId="0">
      <selection activeCell="B1" sqref="B1"/>
    </sheetView>
  </sheetViews>
  <sheetFormatPr defaultColWidth="11.5703125" defaultRowHeight="13.9" customHeight="1" x14ac:dyDescent="0.2"/>
  <cols>
    <col min="1" max="1" width="2.5703125" customWidth="1"/>
    <col min="2" max="6" width="11.5703125" customWidth="1"/>
    <col min="7" max="7" width="12.7109375" customWidth="1"/>
    <col min="8" max="15" width="11.5703125" customWidth="1"/>
    <col min="16" max="16" width="1.7109375" customWidth="1"/>
  </cols>
  <sheetData>
    <row r="1" spans="2:16" ht="13.9" customHeight="1" x14ac:dyDescent="0.2">
      <c r="B1" s="1" t="s">
        <v>599</v>
      </c>
      <c r="K1" s="344">
        <f>Summary!J1</f>
        <v>40823</v>
      </c>
    </row>
    <row r="3" spans="2:16" ht="13.9" customHeight="1" x14ac:dyDescent="0.2">
      <c r="B3" s="42" t="s">
        <v>600</v>
      </c>
    </row>
    <row r="4" spans="2:16" ht="13.9" customHeight="1" x14ac:dyDescent="0.2">
      <c r="H4" s="408" t="str">
        <f>CONCATENATE("% of personal consumption expenditures (figure to left, divided by Cell F",P39, ")")</f>
        <v>% of personal consumption expenditures (figure to left, divided by Cell F39)</v>
      </c>
      <c r="P4" s="8">
        <f>ROW()</f>
        <v>4</v>
      </c>
    </row>
    <row r="5" spans="2:16" ht="13.9" customHeight="1" x14ac:dyDescent="0.2">
      <c r="H5" s="408"/>
      <c r="P5" s="8">
        <f>ROW()</f>
        <v>5</v>
      </c>
    </row>
    <row r="6" spans="2:16" ht="13.9" customHeight="1" x14ac:dyDescent="0.2">
      <c r="H6" s="513"/>
      <c r="P6" s="8">
        <f>ROW()</f>
        <v>6</v>
      </c>
    </row>
    <row r="7" spans="2:16" ht="13.9" customHeight="1" x14ac:dyDescent="0.2">
      <c r="H7" s="513"/>
      <c r="P7" s="8">
        <f>ROW()</f>
        <v>7</v>
      </c>
    </row>
    <row r="8" spans="2:16" ht="13.9" customHeight="1" x14ac:dyDescent="0.2">
      <c r="B8" s="42"/>
      <c r="G8" s="13" t="s">
        <v>456</v>
      </c>
      <c r="H8" s="513"/>
      <c r="P8" s="8">
        <f>ROW()</f>
        <v>8</v>
      </c>
    </row>
    <row r="9" spans="2:16" ht="13.9" customHeight="1" x14ac:dyDescent="0.2">
      <c r="P9" s="8">
        <f>ROW()</f>
        <v>9</v>
      </c>
    </row>
    <row r="10" spans="2:16" ht="13.9" customHeight="1" x14ac:dyDescent="0.2">
      <c r="B10" s="42" t="s">
        <v>460</v>
      </c>
      <c r="G10" s="282">
        <v>14119</v>
      </c>
      <c r="I10" s="110" t="s">
        <v>452</v>
      </c>
      <c r="P10" s="8">
        <f>ROW()</f>
        <v>10</v>
      </c>
    </row>
    <row r="11" spans="2:16" ht="13.9" customHeight="1" x14ac:dyDescent="0.2">
      <c r="I11" s="11"/>
      <c r="P11" s="8">
        <f>ROW()</f>
        <v>11</v>
      </c>
    </row>
    <row r="12" spans="2:16" ht="13.9" customHeight="1" x14ac:dyDescent="0.2">
      <c r="B12" s="42" t="s">
        <v>461</v>
      </c>
      <c r="F12" s="282"/>
      <c r="G12" s="282">
        <f>(Electricity!M25*Electricity!M21/100)*10^9/10^9</f>
        <v>365.67743731679997</v>
      </c>
      <c r="I12" s="110" t="str">
        <f>CONCATENATE("Product of Rows ",Electricity!AO21, " and ",Electricity!AO25, " from 'Electricity' worksheet.")</f>
        <v>Product of Rows 21 and 25 from 'Electricity' worksheet.</v>
      </c>
      <c r="P12" s="8">
        <f>ROW()</f>
        <v>12</v>
      </c>
    </row>
    <row r="13" spans="2:16" ht="13.9" customHeight="1" x14ac:dyDescent="0.2">
      <c r="B13" s="42" t="s">
        <v>463</v>
      </c>
      <c r="F13" s="282"/>
      <c r="G13" s="296">
        <v>0.37935103703726403</v>
      </c>
      <c r="I13" s="110" t="s">
        <v>453</v>
      </c>
      <c r="P13" s="8">
        <f>ROW()</f>
        <v>13</v>
      </c>
    </row>
    <row r="14" spans="2:16" ht="13.9" customHeight="1" x14ac:dyDescent="0.2">
      <c r="B14" s="42" t="s">
        <v>462</v>
      </c>
      <c r="F14" s="282"/>
      <c r="G14" s="283">
        <v>1364.4744169999999</v>
      </c>
      <c r="I14" s="110" t="s">
        <v>453</v>
      </c>
      <c r="P14" s="8">
        <f>ROW()</f>
        <v>14</v>
      </c>
    </row>
    <row r="15" spans="2:16" ht="13.9" customHeight="1" x14ac:dyDescent="0.2">
      <c r="B15" s="42" t="s">
        <v>464</v>
      </c>
      <c r="G15" s="284">
        <f>11.51/100</f>
        <v>0.11509999999999999</v>
      </c>
      <c r="I15" s="110" t="s">
        <v>454</v>
      </c>
      <c r="P15" s="8">
        <f>ROW()</f>
        <v>15</v>
      </c>
    </row>
    <row r="16" spans="2:16" ht="13.9" customHeight="1" x14ac:dyDescent="0.2">
      <c r="B16" s="42" t="s">
        <v>459</v>
      </c>
      <c r="G16" s="282">
        <f>G14*G15</f>
        <v>157.05100539669999</v>
      </c>
      <c r="H16" s="59">
        <f>G16/$G$39</f>
        <v>1.5566403881089491E-2</v>
      </c>
      <c r="I16" s="110" t="str">
        <f>CONCATENATE("Product of Rows ",P14, " and ",P15, ".")</f>
        <v>Product of Rows 14 and 15.</v>
      </c>
      <c r="P16" s="8">
        <f>ROW()</f>
        <v>16</v>
      </c>
    </row>
    <row r="17" spans="2:16" ht="13.9" customHeight="1" x14ac:dyDescent="0.2">
      <c r="I17" s="11"/>
      <c r="P17" s="8">
        <f>ROW()</f>
        <v>17</v>
      </c>
    </row>
    <row r="18" spans="2:16" ht="13.9" customHeight="1" x14ac:dyDescent="0.2">
      <c r="B18" s="42" t="s">
        <v>465</v>
      </c>
      <c r="G18" s="282">
        <v>50486</v>
      </c>
      <c r="I18" s="110" t="s">
        <v>455</v>
      </c>
      <c r="P18" s="8">
        <f>ROW()</f>
        <v>18</v>
      </c>
    </row>
    <row r="19" spans="2:16" ht="13.9" customHeight="1" x14ac:dyDescent="0.2">
      <c r="B19" s="42" t="s">
        <v>466</v>
      </c>
      <c r="G19" s="286">
        <v>2.5</v>
      </c>
      <c r="I19" s="110" t="s">
        <v>467</v>
      </c>
      <c r="P19" s="8">
        <f>ROW()</f>
        <v>19</v>
      </c>
    </row>
    <row r="20" spans="2:16" ht="13.9" customHeight="1" x14ac:dyDescent="0.2">
      <c r="B20" s="42" t="s">
        <v>468</v>
      </c>
      <c r="G20" s="282">
        <v>531</v>
      </c>
      <c r="I20" s="110" t="s">
        <v>467</v>
      </c>
      <c r="P20" s="8">
        <f>ROW()</f>
        <v>20</v>
      </c>
    </row>
    <row r="21" spans="2:16" ht="13.9" customHeight="1" x14ac:dyDescent="0.2">
      <c r="B21" s="42" t="s">
        <v>469</v>
      </c>
      <c r="G21" s="282">
        <v>1353</v>
      </c>
      <c r="I21" s="110" t="s">
        <v>467</v>
      </c>
      <c r="P21" s="8">
        <f>ROW()</f>
        <v>21</v>
      </c>
    </row>
    <row r="22" spans="2:16" ht="13.9" customHeight="1" x14ac:dyDescent="0.2">
      <c r="B22" s="42" t="s">
        <v>470</v>
      </c>
      <c r="G22" s="282">
        <v>192</v>
      </c>
      <c r="I22" s="110" t="s">
        <v>467</v>
      </c>
      <c r="P22" s="8">
        <f>ROW()</f>
        <v>22</v>
      </c>
    </row>
    <row r="23" spans="2:16" ht="13.9" customHeight="1" x14ac:dyDescent="0.2">
      <c r="B23" s="42" t="s">
        <v>471</v>
      </c>
      <c r="G23" s="282">
        <v>2715</v>
      </c>
      <c r="I23" s="110" t="s">
        <v>467</v>
      </c>
      <c r="P23" s="8">
        <f>ROW()</f>
        <v>23</v>
      </c>
    </row>
    <row r="24" spans="2:16" ht="13.9" customHeight="1" x14ac:dyDescent="0.2">
      <c r="B24" s="42" t="s">
        <v>472</v>
      </c>
      <c r="G24" s="285">
        <v>99</v>
      </c>
      <c r="I24" s="110" t="s">
        <v>467</v>
      </c>
      <c r="P24" s="8">
        <f>ROW()</f>
        <v>24</v>
      </c>
    </row>
    <row r="25" spans="2:16" ht="13.9" customHeight="1" x14ac:dyDescent="0.2">
      <c r="B25" s="42" t="s">
        <v>457</v>
      </c>
      <c r="G25" s="283">
        <v>120770000</v>
      </c>
      <c r="I25" s="110" t="s">
        <v>458</v>
      </c>
      <c r="P25" s="8">
        <f>ROW()</f>
        <v>25</v>
      </c>
    </row>
    <row r="26" spans="2:16" ht="13.9" customHeight="1" x14ac:dyDescent="0.2">
      <c r="B26" s="42"/>
      <c r="G26" s="283"/>
      <c r="I26" s="110"/>
      <c r="P26" s="8">
        <f>ROW()</f>
        <v>26</v>
      </c>
    </row>
    <row r="27" spans="2:16" ht="13.9" customHeight="1" x14ac:dyDescent="0.2">
      <c r="B27" s="42" t="s">
        <v>473</v>
      </c>
      <c r="G27" s="282">
        <f>$G$25*G20/1000000000</f>
        <v>64.128870000000006</v>
      </c>
      <c r="H27" s="59">
        <f>G27/$G$39</f>
        <v>6.3562527876619328E-3</v>
      </c>
      <c r="I27" s="110" t="str">
        <f>CONCATENATE("Product of Rows ",$P$25, " and ",P20, ".")</f>
        <v>Product of Rows 25 and 20.</v>
      </c>
      <c r="P27" s="8">
        <f>ROW()</f>
        <v>27</v>
      </c>
    </row>
    <row r="28" spans="2:16" ht="13.9" customHeight="1" x14ac:dyDescent="0.2">
      <c r="B28" s="42" t="s">
        <v>474</v>
      </c>
      <c r="G28" s="282">
        <f>$G$25*G21/1000000000</f>
        <v>163.40181000000001</v>
      </c>
      <c r="H28" s="59">
        <f>G28/$G$39</f>
        <v>1.6195875747093399E-2</v>
      </c>
      <c r="I28" s="110" t="str">
        <f>CONCATENATE("Product of Rows ",$P$25, " and ",P21, ".")</f>
        <v>Product of Rows 25 and 21.</v>
      </c>
      <c r="P28" s="8">
        <f>ROW()</f>
        <v>28</v>
      </c>
    </row>
    <row r="29" spans="2:16" ht="13.9" customHeight="1" x14ac:dyDescent="0.2">
      <c r="B29" s="42" t="s">
        <v>479</v>
      </c>
      <c r="G29" s="282">
        <f>$G$25*G22/1000000000</f>
        <v>23.187840000000001</v>
      </c>
      <c r="H29" s="59">
        <f>G29/$G$39</f>
        <v>2.298306092713919E-3</v>
      </c>
      <c r="I29" s="110" t="str">
        <f>CONCATENATE("Product of Rows ",$P$25, " and ",P22, ".")</f>
        <v>Product of Rows 25 and 22.</v>
      </c>
      <c r="P29" s="8">
        <f>ROW()</f>
        <v>29</v>
      </c>
    </row>
    <row r="30" spans="2:16" ht="13.9" customHeight="1" x14ac:dyDescent="0.2">
      <c r="B30" s="42" t="s">
        <v>480</v>
      </c>
      <c r="G30" s="282">
        <f>$G$25*G23/1000000000</f>
        <v>327.89055000000002</v>
      </c>
      <c r="H30" s="59">
        <f>G30/$G$39</f>
        <v>3.249948459228276E-2</v>
      </c>
      <c r="I30" s="110" t="str">
        <f>CONCATENATE("Product of Rows ",$P$25, " and ",P23, ".")</f>
        <v>Product of Rows 25 and 23.</v>
      </c>
      <c r="P30" s="8">
        <f>ROW()</f>
        <v>30</v>
      </c>
    </row>
    <row r="31" spans="2:16" ht="13.9" customHeight="1" x14ac:dyDescent="0.2">
      <c r="B31" s="42" t="s">
        <v>481</v>
      </c>
      <c r="G31" s="282">
        <f>$G$25*G24/1000000000</f>
        <v>11.95623</v>
      </c>
      <c r="H31" s="59">
        <f>G31/$G$39</f>
        <v>1.1850640790556145E-3</v>
      </c>
      <c r="I31" s="110" t="str">
        <f>CONCATENATE("Product of Rows ",$P$25, " and ",P24, ".")</f>
        <v>Product of Rows 25 and 24.</v>
      </c>
      <c r="P31" s="8">
        <f>ROW()</f>
        <v>31</v>
      </c>
    </row>
    <row r="32" spans="2:16" ht="13.9" customHeight="1" x14ac:dyDescent="0.2">
      <c r="I32" s="11"/>
      <c r="P32" s="8">
        <f>ROW()</f>
        <v>32</v>
      </c>
    </row>
    <row r="33" spans="2:16" ht="13.9" customHeight="1" x14ac:dyDescent="0.2">
      <c r="B33" s="42" t="s">
        <v>561</v>
      </c>
      <c r="G33" s="307">
        <v>154.71923799999999</v>
      </c>
      <c r="I33" s="110" t="s">
        <v>562</v>
      </c>
      <c r="P33" s="8">
        <f>ROW()</f>
        <v>33</v>
      </c>
    </row>
    <row r="34" spans="2:16" ht="13.9" customHeight="1" x14ac:dyDescent="0.2">
      <c r="B34" s="42" t="s">
        <v>563</v>
      </c>
      <c r="G34" s="307">
        <v>22.913726</v>
      </c>
      <c r="I34" s="110" t="s">
        <v>562</v>
      </c>
      <c r="P34" s="8">
        <f>ROW()</f>
        <v>34</v>
      </c>
    </row>
    <row r="35" spans="2:16" ht="13.9" customHeight="1" x14ac:dyDescent="0.2">
      <c r="B35" s="42" t="s">
        <v>564</v>
      </c>
      <c r="G35" s="296">
        <f>1-G34/G33</f>
        <v>0.85190124837610692</v>
      </c>
      <c r="I35" s="11"/>
      <c r="P35" s="8">
        <f>ROW()</f>
        <v>35</v>
      </c>
    </row>
    <row r="36" spans="2:16" ht="13.9" customHeight="1" x14ac:dyDescent="0.2">
      <c r="B36" s="42" t="s">
        <v>565</v>
      </c>
      <c r="G36" s="308">
        <v>0.5</v>
      </c>
      <c r="I36" s="11"/>
      <c r="P36" s="8">
        <f>ROW()</f>
        <v>36</v>
      </c>
    </row>
    <row r="37" spans="2:16" ht="13.9" customHeight="1" x14ac:dyDescent="0.2">
      <c r="I37" s="11"/>
      <c r="P37" s="8">
        <f>ROW()</f>
        <v>37</v>
      </c>
    </row>
    <row r="38" spans="2:16" ht="13.9" customHeight="1" x14ac:dyDescent="0.2">
      <c r="B38" s="42" t="s">
        <v>475</v>
      </c>
      <c r="D38" s="42"/>
      <c r="G38" s="282">
        <v>10924</v>
      </c>
      <c r="I38" s="110" t="s">
        <v>476</v>
      </c>
      <c r="P38" s="8">
        <f>ROW()</f>
        <v>38</v>
      </c>
    </row>
    <row r="39" spans="2:16" ht="13.9" customHeight="1" x14ac:dyDescent="0.2">
      <c r="B39" s="42" t="s">
        <v>478</v>
      </c>
      <c r="G39" s="282">
        <v>10089.1</v>
      </c>
      <c r="I39" s="110" t="s">
        <v>477</v>
      </c>
      <c r="P39" s="8">
        <f>ROW()</f>
        <v>39</v>
      </c>
    </row>
    <row r="40" spans="2:16" ht="13.9" customHeight="1" x14ac:dyDescent="0.2">
      <c r="P40" s="8">
        <f>ROW()</f>
        <v>40</v>
      </c>
    </row>
    <row r="41" spans="2:16" ht="13.9" customHeight="1" x14ac:dyDescent="0.2">
      <c r="B41" s="42" t="s">
        <v>529</v>
      </c>
      <c r="G41" s="282">
        <f>8989*1000*Parameters!J19*Parameters!J18*3.317/1000000000</f>
        <v>457.08714429000003</v>
      </c>
      <c r="I41" s="110" t="s">
        <v>530</v>
      </c>
      <c r="P41" s="8">
        <f>ROW()</f>
        <v>41</v>
      </c>
    </row>
    <row r="42" spans="2:16" ht="13.9" customHeight="1" x14ac:dyDescent="0.2">
      <c r="B42" s="42" t="s">
        <v>531</v>
      </c>
      <c r="G42" s="296">
        <f>G30/G41</f>
        <v>0.71734800266438703</v>
      </c>
      <c r="I42" s="110" t="str">
        <f>CONCATENATE("Ratio of Row ",$P$30, " to Row ",P41, ".")</f>
        <v>Ratio of Row 30 to Row 41.</v>
      </c>
      <c r="P42" s="8">
        <f>ROW()</f>
        <v>42</v>
      </c>
    </row>
    <row r="43" spans="2:16" ht="13.9" customHeight="1" x14ac:dyDescent="0.2">
      <c r="B43" s="42" t="s">
        <v>552</v>
      </c>
      <c r="G43" s="6">
        <v>0</v>
      </c>
      <c r="P43" s="8">
        <f>ROW()</f>
        <v>43</v>
      </c>
    </row>
    <row r="44" spans="2:16" ht="13.9" customHeight="1" x14ac:dyDescent="0.2">
      <c r="B44" s="42" t="s">
        <v>566</v>
      </c>
      <c r="G44" s="17">
        <f>G36*G35</f>
        <v>0.42595062418805346</v>
      </c>
      <c r="I44" s="11"/>
      <c r="P44" s="8">
        <f>ROW()</f>
        <v>44</v>
      </c>
    </row>
    <row r="45" spans="2:16" ht="13.9" customHeight="1" x14ac:dyDescent="0.2">
      <c r="B45" s="42" t="s">
        <v>569</v>
      </c>
      <c r="G45" s="308">
        <f>1/4</f>
        <v>0.25</v>
      </c>
      <c r="P45" s="8">
        <f>ROW()</f>
        <v>45</v>
      </c>
    </row>
  </sheetData>
  <mergeCells count="1">
    <mergeCell ref="H4:H8"/>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9</vt:i4>
      </vt:variant>
    </vt:vector>
  </HeadingPairs>
  <TitlesOfParts>
    <vt:vector size="24" baseType="lpstr">
      <vt:lpstr>Summary</vt:lpstr>
      <vt:lpstr>Parameters</vt:lpstr>
      <vt:lpstr>Electricity</vt:lpstr>
      <vt:lpstr>Personal Ground Travel</vt:lpstr>
      <vt:lpstr>Freight</vt:lpstr>
      <vt:lpstr>Aviation</vt:lpstr>
      <vt:lpstr>Other</vt:lpstr>
      <vt:lpstr>Graph_CO2</vt:lpstr>
      <vt:lpstr>Graph_Oil</vt:lpstr>
      <vt:lpstr>Emissions</vt:lpstr>
      <vt:lpstr>GHG's</vt:lpstr>
      <vt:lpstr>Elasticities</vt:lpstr>
      <vt:lpstr>Revenue</vt:lpstr>
      <vt:lpstr>Re-Spending</vt:lpstr>
      <vt:lpstr>Sheet1</vt:lpstr>
      <vt:lpstr>'GHG''s'!global_mitigation</vt:lpstr>
      <vt:lpstr>Aviation!Print_Area</vt:lpstr>
      <vt:lpstr>Electricity!Print_Area</vt:lpstr>
      <vt:lpstr>Emissions!Print_Area</vt:lpstr>
      <vt:lpstr>Freight!Print_Area</vt:lpstr>
      <vt:lpstr>Graph_CO2!Print_Area</vt:lpstr>
      <vt:lpstr>Other!Print_Area</vt:lpstr>
      <vt:lpstr>'Personal Ground Travel'!Print_Area</vt:lpstr>
      <vt:lpstr>Summary!Print_Area</vt:lpstr>
    </vt:vector>
  </TitlesOfParts>
  <Company>KEA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Charles Komanoff</dc:creator>
  <cp:lastModifiedBy>Rappolee</cp:lastModifiedBy>
  <cp:lastPrinted>2011-09-27T15:22:06Z</cp:lastPrinted>
  <dcterms:created xsi:type="dcterms:W3CDTF">2007-03-27T19:18:08Z</dcterms:created>
  <dcterms:modified xsi:type="dcterms:W3CDTF">2013-12-14T00:46:14Z</dcterms:modified>
</cp:coreProperties>
</file>